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9" activeTab="34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C77" i="128" l="1"/>
  <c r="E77" i="128" s="1"/>
  <c r="C93" i="125"/>
  <c r="C92" i="125"/>
  <c r="C91" i="125"/>
  <c r="C81" i="125"/>
  <c r="C79" i="125"/>
  <c r="C78" i="125"/>
  <c r="C75" i="125"/>
  <c r="C74" i="125"/>
  <c r="C73" i="125"/>
  <c r="C69" i="125"/>
  <c r="C59" i="125"/>
  <c r="C58" i="125"/>
  <c r="C76" i="125"/>
  <c r="C77" i="125"/>
  <c r="E77" i="125" s="1"/>
  <c r="C35" i="173" l="1"/>
  <c r="D20" i="113" l="1"/>
  <c r="B20" i="113"/>
  <c r="D19" i="109"/>
  <c r="B19" i="109"/>
  <c r="D19" i="103"/>
  <c r="B19" i="103"/>
  <c r="D42" i="56"/>
  <c r="B42" i="56"/>
  <c r="D23" i="180"/>
  <c r="B23" i="180"/>
  <c r="B24" i="180"/>
  <c r="D75" i="48"/>
  <c r="B75" i="48"/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3" i="180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D24" i="180" l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1" i="48" l="1"/>
  <c r="B72" i="48" s="1"/>
  <c r="D72" i="48" s="1"/>
  <c r="B46" i="48"/>
  <c r="B43" i="48"/>
  <c r="B52" i="48"/>
  <c r="B51" i="48"/>
  <c r="B50" i="48"/>
  <c r="B47" i="48"/>
  <c r="B33" i="48"/>
  <c r="D68" i="48"/>
  <c r="B70" i="48"/>
  <c r="D70" i="48" s="1"/>
  <c r="B69" i="48"/>
  <c r="D69" i="48" s="1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D71" i="48" l="1"/>
  <c r="B23" i="113"/>
  <c r="B76" i="48"/>
  <c r="D76" i="48" s="1"/>
  <c r="B74" i="48"/>
  <c r="D74" i="48" s="1"/>
  <c r="B73" i="48"/>
  <c r="D73" i="48" s="1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7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D26" i="113"/>
  <c r="B26" i="113"/>
  <c r="D25" i="113"/>
  <c r="B25" i="113"/>
  <c r="B24" i="113"/>
  <c r="D24" i="113" s="1"/>
  <c r="D23" i="113"/>
  <c r="D22" i="113"/>
  <c r="B22" i="113"/>
  <c r="B21" i="113"/>
  <c r="D21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6" i="109"/>
  <c r="B26" i="109"/>
  <c r="B25" i="109"/>
  <c r="D25" i="109" s="1"/>
  <c r="B24" i="109"/>
  <c r="D24" i="109" s="1"/>
  <c r="D23" i="109"/>
  <c r="B23" i="109"/>
  <c r="B22" i="109"/>
  <c r="D22" i="109" s="1"/>
  <c r="B21" i="109"/>
  <c r="D21" i="109" s="1"/>
  <c r="D20" i="109"/>
  <c r="B20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8" i="113"/>
  <c r="D27" i="109"/>
  <c r="D14" i="103"/>
  <c r="D12" i="103"/>
  <c r="D26" i="103" s="1"/>
  <c r="D50" i="56"/>
  <c r="B50" i="56"/>
  <c r="B49" i="56"/>
  <c r="D49" i="56" s="1"/>
  <c r="B48" i="56"/>
  <c r="D48" i="56" s="1"/>
  <c r="D47" i="56"/>
  <c r="B47" i="56"/>
  <c r="B45" i="56"/>
  <c r="D45" i="56" s="1"/>
  <c r="D44" i="56"/>
  <c r="B44" i="56"/>
  <c r="B43" i="56"/>
  <c r="D43" i="56" s="1"/>
  <c r="B41" i="56"/>
  <c r="B46" i="56" s="1"/>
  <c r="D46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4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39" i="133" l="1"/>
  <c r="E39" i="133" s="1"/>
  <c r="C40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3" i="133"/>
  <c r="E63" i="133" s="1"/>
  <c r="C62" i="133"/>
  <c r="C61" i="133"/>
  <c r="E62" i="133"/>
  <c r="E61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E93" i="125" l="1"/>
  <c r="E92" i="125"/>
  <c r="E91" i="125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59" i="133" l="1"/>
  <c r="E59" i="133" s="1"/>
  <c r="C58" i="133"/>
  <c r="E58" i="133" s="1"/>
  <c r="C57" i="133"/>
  <c r="E57" i="133" s="1"/>
  <c r="C56" i="133"/>
  <c r="E56" i="133" s="1"/>
  <c r="C55" i="133"/>
  <c r="E55" i="133" s="1"/>
  <c r="C64" i="133"/>
  <c r="C60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C41" i="133"/>
  <c r="E40" i="133"/>
  <c r="C38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9" i="125"/>
  <c r="E89" i="125" s="1"/>
  <c r="C83" i="125"/>
  <c r="E83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4" i="125"/>
  <c r="E94" i="125" s="1"/>
  <c r="C90" i="125"/>
  <c r="E90" i="125" s="1"/>
  <c r="C88" i="125"/>
  <c r="E88" i="125" s="1"/>
  <c r="C86" i="125"/>
  <c r="E86" i="125" s="1"/>
  <c r="C85" i="125"/>
  <c r="E85" i="125" s="1"/>
  <c r="E84" i="125"/>
  <c r="C87" i="125"/>
  <c r="E87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6" i="128"/>
  <c r="C75" i="128"/>
  <c r="C74" i="128"/>
  <c r="C73" i="128"/>
  <c r="E73" i="128" s="1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2" i="125" l="1"/>
  <c r="E82" i="125" s="1"/>
  <c r="C80" i="125"/>
  <c r="E80" i="125" s="1"/>
  <c r="E76" i="125"/>
  <c r="E75" i="125"/>
  <c r="E74" i="125"/>
  <c r="C72" i="125"/>
  <c r="E72" i="125" s="1"/>
  <c r="C68" i="125"/>
  <c r="E68" i="125" s="1"/>
  <c r="C66" i="125"/>
  <c r="E66" i="125" s="1"/>
  <c r="C60" i="125"/>
  <c r="E60" i="125" s="1"/>
  <c r="E59" i="125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5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1" i="133"/>
  <c r="E50" i="133"/>
  <c r="E49" i="133"/>
  <c r="E48" i="133"/>
  <c r="E47" i="133"/>
  <c r="E46" i="133"/>
  <c r="E44" i="133"/>
  <c r="E37" i="128"/>
  <c r="E39" i="128"/>
  <c r="E40" i="128"/>
  <c r="E64" i="133"/>
  <c r="E60" i="133"/>
  <c r="E54" i="133"/>
  <c r="E53" i="133"/>
  <c r="E52" i="133"/>
  <c r="E43" i="133"/>
  <c r="E42" i="133"/>
  <c r="E41" i="133"/>
  <c r="E38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5" i="133"/>
  <c r="E40" i="134"/>
  <c r="E27" i="134"/>
  <c r="E26" i="133"/>
  <c r="C37" i="133"/>
  <c r="E37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6" i="128"/>
  <c r="E75" i="128"/>
  <c r="E74" i="128"/>
  <c r="E72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E81" i="125" l="1"/>
  <c r="E69" i="125"/>
  <c r="C67" i="125"/>
  <c r="E67" i="125" s="1"/>
  <c r="E31" i="125"/>
  <c r="E79" i="125"/>
  <c r="E78" i="125"/>
  <c r="E73" i="125"/>
  <c r="E58" i="125"/>
  <c r="E95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<sst xmlns="http://schemas.openxmlformats.org/spreadsheetml/2006/main" count="4525" uniqueCount="1096">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</sst>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6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29" t="s">
        <v>727</v>
      </c>
      <c r="B2" s="1130"/>
      <c r="C2" s="1130"/>
      <c r="D2" s="1130"/>
    </row>
    <row r="3" spans="1:4">
      <c r="A3" s="792" t="s">
        <v>6</v>
      </c>
      <c r="B3" s="873">
        <v>2</v>
      </c>
      <c r="C3" s="1131" t="s">
        <v>30</v>
      </c>
      <c r="D3" s="1132"/>
    </row>
    <row r="4" spans="1:4">
      <c r="A4" s="804" t="s">
        <v>1</v>
      </c>
      <c r="B4" s="874">
        <v>2</v>
      </c>
      <c r="C4" s="1133" t="s">
        <v>30</v>
      </c>
      <c r="D4" s="1134"/>
    </row>
    <row r="5" spans="1:4">
      <c r="A5" s="804" t="s">
        <v>729</v>
      </c>
      <c r="B5" s="875">
        <v>1</v>
      </c>
      <c r="C5" s="1135" t="s">
        <v>730</v>
      </c>
      <c r="D5" s="1136"/>
    </row>
    <row r="6" spans="1:4">
      <c r="A6" s="804" t="s">
        <v>731</v>
      </c>
      <c r="B6" s="875">
        <v>0</v>
      </c>
      <c r="C6" s="1146" t="s">
        <v>732</v>
      </c>
      <c r="D6" s="1147"/>
    </row>
    <row r="7" spans="1:4">
      <c r="A7" s="804" t="s">
        <v>733</v>
      </c>
      <c r="B7" s="874">
        <v>1</v>
      </c>
      <c r="C7" s="1133" t="s">
        <v>30</v>
      </c>
      <c r="D7" s="1134"/>
    </row>
    <row r="8" spans="1:4">
      <c r="A8" s="804" t="s">
        <v>770</v>
      </c>
      <c r="B8" s="866">
        <v>1</v>
      </c>
      <c r="C8" s="776" t="s">
        <v>772</v>
      </c>
      <c r="D8" s="777" t="s">
        <v>771</v>
      </c>
    </row>
    <row r="9" spans="1:4" ht="12" customHeight="1">
      <c r="A9" s="804" t="s">
        <v>734</v>
      </c>
      <c r="B9" s="875">
        <v>1</v>
      </c>
      <c r="C9" s="1135" t="s">
        <v>735</v>
      </c>
      <c r="D9" s="1136"/>
    </row>
    <row r="10" spans="1:4" ht="33" customHeight="1">
      <c r="A10" s="805" t="s">
        <v>736</v>
      </c>
      <c r="B10" s="891">
        <v>0</v>
      </c>
      <c r="C10" s="1148" t="s">
        <v>737</v>
      </c>
      <c r="D10" s="1147"/>
    </row>
    <row r="11" spans="1:4">
      <c r="A11" s="804" t="s">
        <v>738</v>
      </c>
      <c r="B11" s="1018">
        <v>0</v>
      </c>
      <c r="C11" s="1146" t="s">
        <v>732</v>
      </c>
      <c r="D11" s="1147"/>
    </row>
    <row r="12" spans="1:4">
      <c r="A12" s="806" t="s">
        <v>739</v>
      </c>
      <c r="B12" s="875">
        <v>0</v>
      </c>
      <c r="C12" s="1146" t="s">
        <v>732</v>
      </c>
      <c r="D12" s="1147"/>
    </row>
    <row r="13" spans="1:4" ht="12" thickBot="1">
      <c r="A13" s="806" t="s">
        <v>740</v>
      </c>
      <c r="B13" s="1019">
        <v>0</v>
      </c>
      <c r="C13" s="1137" t="s">
        <v>732</v>
      </c>
      <c r="D13" s="1138"/>
    </row>
    <row r="14" spans="1:4">
      <c r="A14" s="792" t="s">
        <v>741</v>
      </c>
      <c r="B14" s="873">
        <f>CEILING(B3*12.5,1)</f>
        <v>25</v>
      </c>
      <c r="C14" s="1139" t="s">
        <v>29</v>
      </c>
      <c r="D14" s="1140"/>
    </row>
    <row r="15" spans="1:4" ht="12" thickBot="1">
      <c r="A15" s="793" t="s">
        <v>742</v>
      </c>
      <c r="B15" s="1020">
        <f>IF(B3&lt;0.71,2,IF(B3&lt;1.41,3,IF(B3&lt;2.11,4,IF(B3&lt;2.81,5,IF(B3&lt;3.51,6,IF(B3&lt;4.21,7))))))</f>
        <v>4</v>
      </c>
      <c r="C15" s="1141"/>
      <c r="D15" s="1142"/>
    </row>
    <row r="16" spans="1:4" ht="12" thickBot="1"/>
    <row r="17" spans="1:7" ht="12.75">
      <c r="A17" s="794" t="s">
        <v>7</v>
      </c>
      <c r="B17" s="794" t="s">
        <v>0</v>
      </c>
      <c r="C17" s="795" t="s">
        <v>4</v>
      </c>
      <c r="D17" s="794" t="s">
        <v>8</v>
      </c>
    </row>
    <row r="18" spans="1:7" ht="12.75" customHeight="1">
      <c r="A18" s="797" t="s">
        <v>743</v>
      </c>
      <c r="B18" s="47">
        <f>IF(B5=1,B14,0)*B7</f>
        <v>25</v>
      </c>
      <c r="C18" s="844"/>
      <c r="D18" s="798">
        <f t="shared" ref="D18:D44" si="0">B18*C18</f>
        <v>0</v>
      </c>
    </row>
    <row r="19" spans="1:7">
      <c r="A19" s="798" t="s">
        <v>744</v>
      </c>
      <c r="B19" s="47">
        <f>IF(B5=1,B14,0)*B7</f>
        <v>25</v>
      </c>
      <c r="C19" s="844"/>
      <c r="D19" s="798">
        <f t="shared" si="0"/>
        <v>0</v>
      </c>
    </row>
    <row r="20" spans="1:7">
      <c r="A20" s="798" t="s">
        <v>745</v>
      </c>
      <c r="B20" s="47">
        <f>1*B7</f>
        <v>1</v>
      </c>
      <c r="C20" s="844"/>
      <c r="D20" s="798">
        <f t="shared" si="0"/>
        <v>0</v>
      </c>
    </row>
    <row r="21" spans="1:7" ht="12" customHeight="1">
      <c r="A21" s="797" t="s">
        <v>746</v>
      </c>
      <c r="B21" s="47">
        <f>IF(B10&gt;2,B14/2,IF(B10=2,B14,0))*B7</f>
        <v>0</v>
      </c>
      <c r="C21" s="844"/>
      <c r="D21" s="798">
        <f t="shared" si="0"/>
        <v>0</v>
      </c>
    </row>
    <row r="22" spans="1:7" ht="11.25" customHeight="1">
      <c r="A22" s="797" t="s">
        <v>747</v>
      </c>
      <c r="B22" s="47">
        <f>IF(B10&gt;2,B14/2,IF(B10=1,B14,0))*B7</f>
        <v>0</v>
      </c>
      <c r="C22" s="844"/>
      <c r="D22" s="798">
        <f t="shared" si="0"/>
        <v>0</v>
      </c>
    </row>
    <row r="23" spans="1:7" ht="11.25" customHeight="1">
      <c r="A23" s="797" t="s">
        <v>748</v>
      </c>
      <c r="B23" s="47">
        <f>IF(B11&lt;&gt;1,B15,0)*B7</f>
        <v>4</v>
      </c>
      <c r="C23" s="844"/>
      <c r="D23" s="798">
        <f t="shared" si="0"/>
        <v>0</v>
      </c>
    </row>
    <row r="24" spans="1:7">
      <c r="A24" s="798" t="s">
        <v>183</v>
      </c>
      <c r="B24" s="47">
        <f>IF(B11&lt;&gt;1,B15,0)*B7</f>
        <v>4</v>
      </c>
      <c r="C24" s="844"/>
      <c r="D24" s="798">
        <f t="shared" si="0"/>
        <v>0</v>
      </c>
    </row>
    <row r="25" spans="1:7">
      <c r="A25" s="798" t="s">
        <v>749</v>
      </c>
      <c r="B25" s="47">
        <f>IF(B11&lt;&gt;0,B15,0)*B7</f>
        <v>0</v>
      </c>
      <c r="C25" s="844"/>
      <c r="D25" s="798">
        <f t="shared" si="0"/>
        <v>0</v>
      </c>
    </row>
    <row r="26" spans="1:7">
      <c r="A26" s="798" t="s">
        <v>739</v>
      </c>
      <c r="B26" s="47">
        <f>IF(B12=0,0,B15)*B7</f>
        <v>0</v>
      </c>
      <c r="C26" s="844"/>
      <c r="D26" s="798">
        <f t="shared" si="0"/>
        <v>0</v>
      </c>
    </row>
    <row r="27" spans="1:7">
      <c r="A27" s="798" t="s">
        <v>750</v>
      </c>
      <c r="B27" s="47">
        <f>IF(B12=1,0,IF(B11=0,B15,0))*B7</f>
        <v>4</v>
      </c>
      <c r="C27" s="844"/>
      <c r="D27" s="798">
        <f t="shared" si="0"/>
        <v>0</v>
      </c>
      <c r="G27">
        <v>1</v>
      </c>
    </row>
    <row r="28" spans="1:7">
      <c r="A28" s="798" t="s">
        <v>751</v>
      </c>
      <c r="B28" s="47">
        <f>(B3-0.027)*B7</f>
        <v>1.9730000000000001</v>
      </c>
      <c r="C28" s="844"/>
      <c r="D28" s="798">
        <f t="shared" si="0"/>
        <v>0</v>
      </c>
    </row>
    <row r="29" spans="1:7" ht="12" customHeight="1">
      <c r="A29" s="797" t="s">
        <v>752</v>
      </c>
      <c r="B29" s="47">
        <f>1*B7</f>
        <v>1</v>
      </c>
      <c r="C29" s="844"/>
      <c r="D29" s="798">
        <f t="shared" si="0"/>
        <v>0</v>
      </c>
    </row>
    <row r="30" spans="1:7">
      <c r="A30" s="798" t="s">
        <v>753</v>
      </c>
      <c r="B30" s="47">
        <f>(B3-0.04)*B7</f>
        <v>1.96</v>
      </c>
      <c r="C30" s="844"/>
      <c r="D30" s="798">
        <f t="shared" si="0"/>
        <v>0</v>
      </c>
    </row>
    <row r="31" spans="1:7">
      <c r="A31" s="798" t="s">
        <v>754</v>
      </c>
      <c r="B31" s="47">
        <f>IF(B10=3,1,0)*B7</f>
        <v>0</v>
      </c>
      <c r="C31" s="844"/>
      <c r="D31" s="798">
        <f t="shared" si="0"/>
        <v>0</v>
      </c>
    </row>
    <row r="32" spans="1:7">
      <c r="A32" s="798" t="s">
        <v>755</v>
      </c>
      <c r="B32" s="47">
        <f>IF(B10=1,1,0)*B7</f>
        <v>0</v>
      </c>
      <c r="C32" s="844"/>
      <c r="D32" s="798">
        <f t="shared" si="0"/>
        <v>0</v>
      </c>
    </row>
    <row r="33" spans="1:4">
      <c r="A33" s="798" t="s">
        <v>756</v>
      </c>
      <c r="B33" s="47">
        <f>3*B7</f>
        <v>3</v>
      </c>
      <c r="C33" s="844"/>
      <c r="D33" s="798">
        <f t="shared" si="0"/>
        <v>0</v>
      </c>
    </row>
    <row r="34" spans="1:4">
      <c r="A34" s="798" t="s">
        <v>757</v>
      </c>
      <c r="B34" s="47">
        <f>IF(B3&lt;1.2,0,IF(B10=1,1,0))*B7</f>
        <v>0</v>
      </c>
      <c r="C34" s="844"/>
      <c r="D34" s="798">
        <f t="shared" si="0"/>
        <v>0</v>
      </c>
    </row>
    <row r="35" spans="1:4">
      <c r="A35" s="798" t="s">
        <v>740</v>
      </c>
      <c r="B35" s="47">
        <f>IF(B13=1,B15,0)*B7</f>
        <v>0</v>
      </c>
      <c r="C35" s="844"/>
      <c r="D35" s="798">
        <f t="shared" si="0"/>
        <v>0</v>
      </c>
    </row>
    <row r="36" spans="1:4">
      <c r="A36" s="798" t="s">
        <v>758</v>
      </c>
      <c r="B36" s="47">
        <f>IF(B10=1,1,2)*B7</f>
        <v>2</v>
      </c>
      <c r="C36" s="844"/>
      <c r="D36" s="798">
        <f t="shared" si="0"/>
        <v>0</v>
      </c>
    </row>
    <row r="37" spans="1:4">
      <c r="A37" s="798" t="s">
        <v>759</v>
      </c>
      <c r="B37" s="47">
        <f>IF(B5=1,IF(B9=2,(B14+1)*2*0.105,0),0)*B7</f>
        <v>0</v>
      </c>
      <c r="C37" s="844"/>
      <c r="D37" s="798">
        <f t="shared" si="0"/>
        <v>0</v>
      </c>
    </row>
    <row r="38" spans="1:4">
      <c r="A38" s="798" t="s">
        <v>760</v>
      </c>
      <c r="B38" s="47">
        <f>IF(B5=1,IF(B9=1,(B14+1)*2*0.105,0),0)*B7</f>
        <v>5.46</v>
      </c>
      <c r="C38" s="844"/>
      <c r="D38" s="798">
        <f t="shared" si="0"/>
        <v>0</v>
      </c>
    </row>
    <row r="39" spans="1:4">
      <c r="A39" s="798" t="s">
        <v>761</v>
      </c>
      <c r="B39" s="47">
        <f>IF(B5=2,IF(B9=1,B3*1.3,0),0)*B7</f>
        <v>0</v>
      </c>
      <c r="C39" s="844"/>
      <c r="D39" s="798">
        <f t="shared" si="0"/>
        <v>0</v>
      </c>
    </row>
    <row r="40" spans="1:4">
      <c r="A40" s="798" t="s">
        <v>762</v>
      </c>
      <c r="B40" s="47">
        <f>IF(B5=2,IF(B9=2,B3*1.3,0),0)*B7</f>
        <v>0</v>
      </c>
      <c r="C40" s="844"/>
      <c r="D40" s="798">
        <f t="shared" si="0"/>
        <v>0</v>
      </c>
    </row>
    <row r="41" spans="1:4">
      <c r="A41" s="796" t="s">
        <v>769</v>
      </c>
      <c r="B41" s="43">
        <f>((B3*2)+0.3)*B7</f>
        <v>4.3</v>
      </c>
      <c r="C41" s="844"/>
      <c r="D41" s="798">
        <f t="shared" si="0"/>
        <v>0</v>
      </c>
    </row>
    <row r="42" spans="1:4">
      <c r="A42" s="796" t="s">
        <v>773</v>
      </c>
      <c r="B42" s="43">
        <f>B7</f>
        <v>1</v>
      </c>
      <c r="C42" s="844"/>
      <c r="D42" s="798">
        <f t="shared" si="0"/>
        <v>0</v>
      </c>
    </row>
    <row r="43" spans="1:4">
      <c r="A43" s="807" t="s">
        <v>774</v>
      </c>
      <c r="B43" s="808">
        <f>B7</f>
        <v>1</v>
      </c>
      <c r="C43" s="845"/>
      <c r="D43" s="798">
        <f t="shared" si="0"/>
        <v>0</v>
      </c>
    </row>
    <row r="44" spans="1:4" ht="12" thickBot="1">
      <c r="A44" s="799" t="s">
        <v>763</v>
      </c>
      <c r="B44" s="800">
        <f>B14*(B4+0.045)</f>
        <v>51.125</v>
      </c>
      <c r="C44" s="846">
        <v>50</v>
      </c>
      <c r="D44" s="799">
        <f t="shared" si="0"/>
        <v>2556.25</v>
      </c>
    </row>
    <row r="45" spans="1:4" ht="12" thickBot="1">
      <c r="A45" s="809"/>
      <c r="B45" s="810"/>
      <c r="C45" s="811" t="s">
        <v>9</v>
      </c>
      <c r="D45" s="812">
        <f>SUM(D18:D44)</f>
        <v>2556.25</v>
      </c>
    </row>
    <row r="46" spans="1:4" ht="12" thickBot="1">
      <c r="A46" s="1143" t="s">
        <v>22</v>
      </c>
      <c r="B46" s="1144"/>
      <c r="C46" s="1144"/>
      <c r="D46" s="1145"/>
    </row>
    <row r="47" spans="1:4">
      <c r="A47" s="801" t="s">
        <v>764</v>
      </c>
      <c r="B47" s="775">
        <f>IF(B6=1,(B3+0.01+0.03)*B7,0)</f>
        <v>0</v>
      </c>
      <c r="C47" s="49"/>
      <c r="D47" s="802"/>
    </row>
    <row r="48" spans="1:4">
      <c r="A48" s="50" t="s">
        <v>765</v>
      </c>
      <c r="B48" s="776">
        <f>IF(B3&lt;0.71,2,IF(B3&lt;1.41,3,IF(B3&lt;2.11,4,IF(B3&lt;2.81,5,IF(B3&lt;3.51,6,IF(B3&lt;4.21,7,8))))))*B7</f>
        <v>4</v>
      </c>
      <c r="C48" s="778"/>
      <c r="D48" s="779"/>
    </row>
    <row r="49" spans="1:4">
      <c r="A49" s="50" t="s">
        <v>766</v>
      </c>
      <c r="B49" s="776">
        <f>2*B7</f>
        <v>2</v>
      </c>
      <c r="C49" s="778"/>
      <c r="D49" s="779"/>
    </row>
    <row r="50" spans="1:4">
      <c r="A50" s="50" t="s">
        <v>767</v>
      </c>
      <c r="B50" s="776">
        <f>B14*B7</f>
        <v>25</v>
      </c>
      <c r="C50" s="778"/>
      <c r="D50" s="779"/>
    </row>
    <row r="51" spans="1:4" ht="12" thickBot="1">
      <c r="A51" s="803" t="s">
        <v>768</v>
      </c>
      <c r="B51" s="780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C14:D15"/>
    <mergeCell ref="A46:D46"/>
    <mergeCell ref="C6:D6"/>
    <mergeCell ref="C7:D7"/>
    <mergeCell ref="C9:D9"/>
    <mergeCell ref="C10:D10"/>
    <mergeCell ref="C11:D11"/>
    <mergeCell ref="C12:D12"/>
    <mergeCell ref="A2:D2"/>
    <mergeCell ref="C3:D3"/>
    <mergeCell ref="C4:D4"/>
    <mergeCell ref="C5:D5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131</v>
      </c>
      <c r="B1" s="1150"/>
      <c r="C1" s="1150"/>
      <c r="D1" s="1150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566</v>
      </c>
      <c r="B7" s="859">
        <v>2</v>
      </c>
      <c r="C7" s="13"/>
      <c r="D7" s="13"/>
      <c r="E7" s="13"/>
      <c r="F7" s="14"/>
    </row>
    <row r="8" spans="1:13">
      <c r="A8" s="9" t="s">
        <v>569</v>
      </c>
      <c r="B8" s="859">
        <v>2</v>
      </c>
      <c r="C8" s="13"/>
      <c r="D8" s="13"/>
      <c r="E8" s="13"/>
      <c r="F8" s="14"/>
    </row>
    <row r="9" spans="1:13" ht="12" thickBot="1">
      <c r="A9" s="10" t="s">
        <v>98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564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568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567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565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49" t="s">
        <v>575</v>
      </c>
      <c r="B1" s="1160"/>
      <c r="C1" s="1160"/>
      <c r="D1" s="1160"/>
      <c r="E1" s="1161"/>
    </row>
    <row r="2" spans="1:12" ht="14.25">
      <c r="A2" s="8" t="s">
        <v>3</v>
      </c>
      <c r="B2" s="12"/>
      <c r="C2" s="13"/>
      <c r="D2" s="13"/>
      <c r="E2" s="14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9" t="s">
        <v>10</v>
      </c>
      <c r="B3" s="859">
        <v>1.5</v>
      </c>
      <c r="C3" s="13"/>
      <c r="D3" s="13"/>
      <c r="E3" s="14"/>
      <c r="G3" s="1154"/>
      <c r="H3" s="1155"/>
      <c r="I3" s="1155"/>
      <c r="J3" s="1155"/>
      <c r="K3" s="1155"/>
      <c r="L3" s="1156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122</v>
      </c>
      <c r="B5" s="862">
        <v>6</v>
      </c>
      <c r="C5" s="124"/>
      <c r="D5" s="13"/>
      <c r="E5" s="14"/>
    </row>
    <row r="6" spans="1:12">
      <c r="A6" s="106" t="s">
        <v>101</v>
      </c>
      <c r="B6" s="862">
        <v>1</v>
      </c>
      <c r="C6" s="13" t="s">
        <v>100</v>
      </c>
      <c r="D6" s="13"/>
      <c r="E6" s="14"/>
    </row>
    <row r="7" spans="1:12">
      <c r="A7" s="149" t="s">
        <v>569</v>
      </c>
      <c r="B7" s="863">
        <v>1</v>
      </c>
      <c r="C7" s="13"/>
      <c r="D7" s="13"/>
      <c r="E7" s="14"/>
    </row>
    <row r="8" spans="1:12">
      <c r="A8" s="9" t="s">
        <v>129</v>
      </c>
      <c r="B8" s="863">
        <v>1</v>
      </c>
      <c r="C8" s="13"/>
      <c r="D8" s="13"/>
      <c r="E8" s="14"/>
    </row>
    <row r="9" spans="1:12" ht="12" thickBot="1">
      <c r="A9" s="9" t="s">
        <v>566</v>
      </c>
      <c r="B9" s="864">
        <v>1</v>
      </c>
      <c r="C9" s="13"/>
      <c r="D9" s="13"/>
      <c r="E9" s="14"/>
    </row>
    <row r="10" spans="1:12" ht="12" thickBot="1">
      <c r="A10" s="10" t="s">
        <v>98</v>
      </c>
      <c r="B10" s="860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563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105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106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564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568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567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565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62" t="s">
        <v>22</v>
      </c>
      <c r="B28" s="1163"/>
      <c r="C28" s="1163"/>
      <c r="D28" s="1163"/>
      <c r="E28" s="1164"/>
      <c r="F28" s="16"/>
    </row>
    <row r="29" spans="1:6">
      <c r="A29" s="1165" t="s">
        <v>35</v>
      </c>
      <c r="B29" s="1166"/>
      <c r="C29" s="1166"/>
      <c r="D29" s="1166"/>
      <c r="E29" s="1167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115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571</v>
      </c>
      <c r="B1" s="1150"/>
      <c r="C1" s="1150"/>
      <c r="D1" s="1150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566</v>
      </c>
      <c r="B7" s="859">
        <v>2</v>
      </c>
      <c r="C7" s="13"/>
      <c r="D7" s="13"/>
      <c r="E7" s="13"/>
      <c r="F7" s="14"/>
    </row>
    <row r="8" spans="1:13">
      <c r="A8" s="9" t="s">
        <v>569</v>
      </c>
      <c r="B8" s="859">
        <v>2</v>
      </c>
      <c r="C8" s="13"/>
      <c r="D8" s="13"/>
      <c r="E8" s="13"/>
      <c r="F8" s="14"/>
    </row>
    <row r="9" spans="1:13" ht="12" thickBot="1">
      <c r="A9" s="10" t="s">
        <v>570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40"/>
      <c r="D17" s="121">
        <f>B5</f>
        <v>1</v>
      </c>
      <c r="E17" s="26"/>
      <c r="F17" s="14"/>
    </row>
    <row r="18" spans="1:6">
      <c r="A18" s="23" t="s">
        <v>573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564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568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567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565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574</v>
      </c>
      <c r="B1" s="1150"/>
      <c r="C1" s="1150"/>
      <c r="D1" s="1150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566</v>
      </c>
      <c r="B7" s="859">
        <v>2</v>
      </c>
      <c r="C7" s="13"/>
      <c r="D7" s="13"/>
      <c r="E7" s="13"/>
      <c r="F7" s="14"/>
    </row>
    <row r="8" spans="1:13">
      <c r="A8" s="9" t="s">
        <v>569</v>
      </c>
      <c r="B8" s="859">
        <v>2</v>
      </c>
      <c r="C8" s="13"/>
      <c r="D8" s="13"/>
      <c r="E8" s="13"/>
      <c r="F8" s="14"/>
    </row>
    <row r="9" spans="1:13" ht="12" thickBot="1">
      <c r="A9" s="10" t="s">
        <v>570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40"/>
      <c r="D17" s="121">
        <f>B5</f>
        <v>1</v>
      </c>
      <c r="E17" s="26"/>
      <c r="F17" s="14"/>
    </row>
    <row r="18" spans="1:6">
      <c r="A18" s="23" t="s">
        <v>573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564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568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567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565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57" t="s">
        <v>26</v>
      </c>
      <c r="B34" s="1158"/>
      <c r="C34" s="1158"/>
      <c r="D34" s="1159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29" t="s">
        <v>132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</row>
    <row r="3" spans="1:12">
      <c r="A3" s="44" t="s">
        <v>6</v>
      </c>
      <c r="B3" s="865">
        <v>0.6</v>
      </c>
      <c r="C3" s="1188" t="s">
        <v>30</v>
      </c>
      <c r="D3" s="1189"/>
      <c r="E3" s="1132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66">
        <v>1.6</v>
      </c>
      <c r="C4" s="1190" t="s">
        <v>30</v>
      </c>
      <c r="D4" s="1191"/>
      <c r="E4" s="1192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66">
        <v>2</v>
      </c>
      <c r="C5" s="1179" t="s">
        <v>37</v>
      </c>
      <c r="D5" s="1193"/>
      <c r="E5" s="1194"/>
    </row>
    <row r="6" spans="1:12">
      <c r="A6" s="45" t="s">
        <v>31</v>
      </c>
      <c r="B6" s="867">
        <v>1</v>
      </c>
      <c r="C6" s="1179" t="s">
        <v>33</v>
      </c>
      <c r="D6" s="1180"/>
      <c r="E6" s="1181"/>
    </row>
    <row r="7" spans="1:12" ht="12" customHeight="1">
      <c r="A7" s="45" t="s">
        <v>136</v>
      </c>
      <c r="B7" s="867">
        <v>3</v>
      </c>
      <c r="C7" s="1176" t="s">
        <v>580</v>
      </c>
      <c r="D7" s="1182"/>
      <c r="E7" s="1183"/>
    </row>
    <row r="8" spans="1:12" ht="15" customHeight="1">
      <c r="A8" s="45" t="s">
        <v>38</v>
      </c>
      <c r="B8" s="867">
        <v>1</v>
      </c>
      <c r="C8" s="1176" t="s">
        <v>581</v>
      </c>
      <c r="D8" s="1177"/>
      <c r="E8" s="1178"/>
    </row>
    <row r="9" spans="1:12" ht="12.75" customHeight="1">
      <c r="A9" s="48" t="s">
        <v>32</v>
      </c>
      <c r="B9" s="868">
        <v>1</v>
      </c>
      <c r="C9" s="1174" t="s">
        <v>582</v>
      </c>
      <c r="D9" s="1175"/>
      <c r="E9" s="1147"/>
    </row>
    <row r="10" spans="1:12">
      <c r="A10" s="136" t="s">
        <v>53</v>
      </c>
      <c r="B10" s="868">
        <v>10</v>
      </c>
      <c r="C10" s="1171" t="s">
        <v>30</v>
      </c>
      <c r="D10" s="1172"/>
      <c r="E10" s="1173"/>
    </row>
    <row r="11" spans="1:12">
      <c r="A11" s="150" t="s">
        <v>569</v>
      </c>
      <c r="B11" s="868">
        <v>1</v>
      </c>
      <c r="C11" s="1171"/>
      <c r="D11" s="1172"/>
      <c r="E11" s="1173"/>
    </row>
    <row r="12" spans="1:12">
      <c r="A12" s="297" t="s">
        <v>566</v>
      </c>
      <c r="B12" s="868">
        <v>50</v>
      </c>
      <c r="C12" s="1171"/>
      <c r="D12" s="1172"/>
      <c r="E12" s="1173"/>
    </row>
    <row r="13" spans="1:12" ht="12" thickBot="1">
      <c r="A13" s="305" t="s">
        <v>578</v>
      </c>
      <c r="B13" s="869">
        <v>0</v>
      </c>
      <c r="C13" s="1168" t="s">
        <v>33</v>
      </c>
      <c r="D13" s="1169"/>
      <c r="E13" s="1170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576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579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135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564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577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567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49" t="s">
        <v>693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694</v>
      </c>
      <c r="B5" s="1201"/>
      <c r="C5" s="1201"/>
      <c r="D5" s="736"/>
      <c r="I5" s="733"/>
    </row>
    <row r="6" spans="1:9">
      <c r="A6" s="1195" t="s">
        <v>566</v>
      </c>
      <c r="B6" s="1196"/>
      <c r="C6" s="1197"/>
      <c r="D6" s="736"/>
      <c r="I6" s="733"/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569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708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700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709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695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696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697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698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699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564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568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567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565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701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702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703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701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704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710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701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49" t="s">
        <v>711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694</v>
      </c>
      <c r="B5" s="1201"/>
      <c r="C5" s="1201"/>
      <c r="D5" s="736"/>
    </row>
    <row r="6" spans="1:9">
      <c r="A6" s="1195" t="s">
        <v>566</v>
      </c>
      <c r="B6" s="1196"/>
      <c r="C6" s="1197"/>
      <c r="D6" s="736"/>
      <c r="I6" s="733" t="s">
        <v>705</v>
      </c>
    </row>
    <row r="7" spans="1:9">
      <c r="A7" s="1200" t="s">
        <v>129</v>
      </c>
      <c r="B7" s="1201"/>
      <c r="C7" s="1201"/>
      <c r="D7" s="759"/>
      <c r="I7" s="733" t="s">
        <v>706</v>
      </c>
    </row>
    <row r="8" spans="1:9" ht="12" thickBot="1">
      <c r="A8" s="1198" t="s">
        <v>569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708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709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695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696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712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698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713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714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715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564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568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567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565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701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701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704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710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701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49" t="s">
        <v>716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694</v>
      </c>
      <c r="B5" s="1201"/>
      <c r="C5" s="1201"/>
      <c r="D5" s="736"/>
      <c r="I5" s="733" t="s">
        <v>705</v>
      </c>
    </row>
    <row r="6" spans="1:9">
      <c r="A6" s="1195" t="s">
        <v>566</v>
      </c>
      <c r="B6" s="1196"/>
      <c r="C6" s="1197"/>
      <c r="D6" s="736"/>
      <c r="I6" s="733" t="s">
        <v>706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569</v>
      </c>
      <c r="B8" s="1199"/>
      <c r="C8" s="1199"/>
      <c r="D8" s="737"/>
      <c r="E8" s="13"/>
      <c r="F8" s="69"/>
      <c r="I8" s="733" t="s">
        <v>707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708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709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695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696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697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717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700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568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567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565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701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702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703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701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704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710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701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49" t="s">
        <v>718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694</v>
      </c>
      <c r="B5" s="1201"/>
      <c r="C5" s="1201"/>
      <c r="D5" s="736"/>
      <c r="I5" s="733" t="s">
        <v>705</v>
      </c>
    </row>
    <row r="6" spans="1:9">
      <c r="A6" s="1195" t="s">
        <v>566</v>
      </c>
      <c r="B6" s="1196"/>
      <c r="C6" s="1197"/>
      <c r="D6" s="736"/>
      <c r="I6" s="733" t="s">
        <v>706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569</v>
      </c>
      <c r="B8" s="1199"/>
      <c r="C8" s="1199"/>
      <c r="D8" s="737"/>
      <c r="E8" s="13"/>
      <c r="F8" s="69"/>
      <c r="I8" s="733" t="s">
        <v>707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708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709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695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696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712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717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713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564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568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567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565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715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701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701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704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710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701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29" t="s">
        <v>132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</row>
    <row r="3" spans="1:12">
      <c r="A3" s="44" t="s">
        <v>6</v>
      </c>
      <c r="B3" s="873">
        <v>0.6</v>
      </c>
      <c r="C3" s="1131" t="s">
        <v>30</v>
      </c>
      <c r="D3" s="1189"/>
      <c r="E3" s="1132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74">
        <v>1.6</v>
      </c>
      <c r="C4" s="1205" t="s">
        <v>30</v>
      </c>
      <c r="D4" s="1191"/>
      <c r="E4" s="1192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74">
        <v>2</v>
      </c>
      <c r="C5" s="1204" t="s">
        <v>37</v>
      </c>
      <c r="D5" s="1193"/>
      <c r="E5" s="1194"/>
    </row>
    <row r="6" spans="1:12">
      <c r="A6" s="45" t="s">
        <v>31</v>
      </c>
      <c r="B6" s="875">
        <v>1</v>
      </c>
      <c r="C6" s="1204" t="s">
        <v>33</v>
      </c>
      <c r="D6" s="1180"/>
      <c r="E6" s="1181"/>
    </row>
    <row r="7" spans="1:12">
      <c r="A7" s="45" t="s">
        <v>136</v>
      </c>
      <c r="B7" s="875">
        <v>2</v>
      </c>
      <c r="C7" s="1135" t="s">
        <v>137</v>
      </c>
      <c r="D7" s="1209"/>
      <c r="E7" s="1210"/>
    </row>
    <row r="8" spans="1:12" ht="24" customHeight="1">
      <c r="A8" s="48" t="s">
        <v>32</v>
      </c>
      <c r="B8" s="876">
        <v>2</v>
      </c>
      <c r="C8" s="1148" t="s">
        <v>34</v>
      </c>
      <c r="D8" s="1175"/>
      <c r="E8" s="1147"/>
    </row>
    <row r="9" spans="1:12">
      <c r="A9" s="136" t="s">
        <v>53</v>
      </c>
      <c r="B9" s="877">
        <v>1</v>
      </c>
      <c r="C9" s="1211" t="s">
        <v>30</v>
      </c>
      <c r="D9" s="1212"/>
      <c r="E9" s="1213"/>
    </row>
    <row r="10" spans="1:12">
      <c r="A10" s="150" t="s">
        <v>569</v>
      </c>
      <c r="B10" s="877">
        <v>1</v>
      </c>
      <c r="C10" s="1214"/>
      <c r="D10" s="1215"/>
      <c r="E10" s="1216"/>
    </row>
    <row r="11" spans="1:12" ht="12" thickBot="1">
      <c r="A11" s="9" t="s">
        <v>566</v>
      </c>
      <c r="B11" s="878">
        <v>50</v>
      </c>
      <c r="C11" s="1206"/>
      <c r="D11" s="1207"/>
      <c r="E11" s="1208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576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107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112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113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134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110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109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135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133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108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231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564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577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567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29" t="s">
        <v>160</v>
      </c>
      <c r="B1" s="1130"/>
      <c r="C1" s="1130"/>
      <c r="D1" s="1130"/>
      <c r="E1" s="1184"/>
    </row>
    <row r="2" spans="1:12" ht="15" thickBot="1">
      <c r="A2" s="1185" t="s">
        <v>3</v>
      </c>
      <c r="B2" s="1186"/>
      <c r="C2" s="1186"/>
      <c r="D2" s="1186"/>
      <c r="E2" s="1187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44" t="s">
        <v>6</v>
      </c>
      <c r="B3" s="873">
        <v>3</v>
      </c>
      <c r="C3" s="1131" t="s">
        <v>30</v>
      </c>
      <c r="D3" s="1189"/>
      <c r="E3" s="1132"/>
      <c r="G3" s="1154"/>
      <c r="H3" s="1155"/>
      <c r="I3" s="1155"/>
      <c r="J3" s="1155"/>
      <c r="K3" s="1155"/>
      <c r="L3" s="1156"/>
    </row>
    <row r="4" spans="1:12">
      <c r="A4" s="45" t="s">
        <v>1</v>
      </c>
      <c r="B4" s="879">
        <v>1</v>
      </c>
      <c r="C4" s="1225" t="s">
        <v>30</v>
      </c>
      <c r="D4" s="1220"/>
      <c r="E4" s="1221"/>
    </row>
    <row r="5" spans="1:12">
      <c r="A5" s="45" t="s">
        <v>60</v>
      </c>
      <c r="B5" s="879">
        <v>25</v>
      </c>
      <c r="C5" s="1219" t="s">
        <v>61</v>
      </c>
      <c r="D5" s="1226"/>
      <c r="E5" s="1227"/>
    </row>
    <row r="6" spans="1:12">
      <c r="A6" s="45" t="s">
        <v>55</v>
      </c>
      <c r="B6" s="880">
        <v>0</v>
      </c>
      <c r="C6" s="1217" t="s">
        <v>33</v>
      </c>
      <c r="D6" s="1201"/>
      <c r="E6" s="1218"/>
      <c r="H6" s="69"/>
      <c r="I6" s="69"/>
      <c r="J6" s="69"/>
    </row>
    <row r="7" spans="1:12">
      <c r="A7" s="46" t="s">
        <v>59</v>
      </c>
      <c r="B7" s="881">
        <v>0</v>
      </c>
      <c r="C7" s="1219" t="s">
        <v>33</v>
      </c>
      <c r="D7" s="1220"/>
      <c r="E7" s="1221"/>
      <c r="H7" s="69"/>
      <c r="I7" s="69"/>
      <c r="J7" s="69"/>
    </row>
    <row r="8" spans="1:12">
      <c r="A8" s="46" t="s">
        <v>56</v>
      </c>
      <c r="B8" s="881">
        <v>0</v>
      </c>
      <c r="C8" s="1219" t="s">
        <v>33</v>
      </c>
      <c r="D8" s="1220"/>
      <c r="E8" s="1221"/>
      <c r="H8" s="70"/>
      <c r="I8" s="69"/>
      <c r="J8" s="69"/>
    </row>
    <row r="9" spans="1:12">
      <c r="A9" s="46" t="s">
        <v>57</v>
      </c>
      <c r="B9" s="882">
        <v>1</v>
      </c>
      <c r="C9" s="1217" t="s">
        <v>33</v>
      </c>
      <c r="D9" s="1201"/>
      <c r="E9" s="1218"/>
      <c r="H9" s="69"/>
      <c r="I9" s="69"/>
      <c r="J9" s="69"/>
    </row>
    <row r="10" spans="1:12">
      <c r="A10" s="46" t="s">
        <v>161</v>
      </c>
      <c r="B10" s="882">
        <v>1</v>
      </c>
      <c r="C10" s="1237"/>
      <c r="D10" s="1238"/>
      <c r="E10" s="1239"/>
      <c r="H10" s="69"/>
      <c r="I10" s="69"/>
      <c r="J10" s="69"/>
    </row>
    <row r="11" spans="1:12">
      <c r="A11" s="136" t="s">
        <v>53</v>
      </c>
      <c r="B11" s="883">
        <v>1</v>
      </c>
      <c r="C11" s="1234" t="s">
        <v>30</v>
      </c>
      <c r="D11" s="1235"/>
      <c r="E11" s="1236"/>
      <c r="H11" s="69"/>
      <c r="I11" s="69"/>
      <c r="J11" s="69"/>
    </row>
    <row r="12" spans="1:12">
      <c r="A12" s="150" t="s">
        <v>156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143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146</v>
      </c>
      <c r="B14" s="884">
        <v>3</v>
      </c>
      <c r="C14" s="1228"/>
      <c r="D14" s="1229"/>
      <c r="E14" s="1230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231" t="s">
        <v>29</v>
      </c>
      <c r="D15" s="1232"/>
      <c r="E15" s="1233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157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515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158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165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166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232</v>
      </c>
      <c r="B36" s="72">
        <f>B12</f>
        <v>1</v>
      </c>
      <c r="C36" s="832"/>
      <c r="D36" s="157">
        <f>B36*C36</f>
        <v>0</v>
      </c>
    </row>
    <row r="37" spans="1:5">
      <c r="A37" s="160" t="s">
        <v>168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159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169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170</v>
      </c>
      <c r="B40" s="72">
        <f>B11*2</f>
        <v>2</v>
      </c>
      <c r="C40" s="832"/>
      <c r="D40" s="157">
        <f>B40*C40</f>
        <v>0</v>
      </c>
    </row>
    <row r="41" spans="1:5">
      <c r="A41" s="131" t="s">
        <v>162</v>
      </c>
      <c r="B41" s="72">
        <f>B13</f>
        <v>2</v>
      </c>
      <c r="C41" s="832"/>
      <c r="D41" s="157">
        <f>B41*C41</f>
        <v>0</v>
      </c>
    </row>
    <row r="42" spans="1:5">
      <c r="A42" s="131" t="s">
        <v>171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172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222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223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223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224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222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223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223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224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29" t="s">
        <v>84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44" t="s">
        <v>6</v>
      </c>
      <c r="B3" s="873">
        <v>0.82</v>
      </c>
      <c r="C3" s="1131" t="s">
        <v>30</v>
      </c>
      <c r="D3" s="1132"/>
    </row>
    <row r="4" spans="1:10">
      <c r="A4" s="45" t="s">
        <v>1</v>
      </c>
      <c r="B4" s="879">
        <v>1.42</v>
      </c>
      <c r="C4" s="1225" t="s">
        <v>30</v>
      </c>
      <c r="D4" s="1221"/>
    </row>
    <row r="5" spans="1:10">
      <c r="A5" s="45" t="s">
        <v>55</v>
      </c>
      <c r="B5" s="879">
        <v>1</v>
      </c>
      <c r="C5" s="1219" t="s">
        <v>33</v>
      </c>
      <c r="D5" s="1221"/>
      <c r="G5" s="69"/>
      <c r="H5" s="69"/>
      <c r="I5" s="69"/>
    </row>
    <row r="6" spans="1:10">
      <c r="A6" s="46" t="s">
        <v>56</v>
      </c>
      <c r="B6" s="882">
        <v>1</v>
      </c>
      <c r="C6" s="1217" t="s">
        <v>33</v>
      </c>
      <c r="D6" s="1218"/>
      <c r="G6" s="70"/>
      <c r="H6" s="69"/>
      <c r="I6" s="69"/>
    </row>
    <row r="7" spans="1:10">
      <c r="A7" s="46" t="s">
        <v>57</v>
      </c>
      <c r="B7" s="881">
        <v>1</v>
      </c>
      <c r="C7" s="1219" t="s">
        <v>33</v>
      </c>
      <c r="D7" s="1221"/>
      <c r="G7" s="69"/>
      <c r="H7" s="69"/>
      <c r="I7" s="69"/>
    </row>
    <row r="8" spans="1:10">
      <c r="A8" s="171" t="s">
        <v>53</v>
      </c>
      <c r="B8" s="891">
        <v>25</v>
      </c>
      <c r="C8" s="1244" t="s">
        <v>30</v>
      </c>
      <c r="D8" s="1245"/>
      <c r="G8" s="69"/>
      <c r="H8" s="69"/>
      <c r="I8" s="69"/>
    </row>
    <row r="9" spans="1:10">
      <c r="A9" s="170" t="s">
        <v>156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143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146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1118">
        <f>IF(B3&lt;=0.69,2,IF(B3&lt;=1.08,3,IF(B3&lt;=1.47,4,IF(B3&lt;=1.86,5,6))))</f>
        <v>3</v>
      </c>
      <c r="C12" s="1172" t="s">
        <v>29</v>
      </c>
      <c r="D12" s="1172"/>
      <c r="F12" s="71"/>
      <c r="G12" s="69"/>
      <c r="H12" s="69"/>
      <c r="I12" s="69"/>
    </row>
    <row r="13" spans="1:10">
      <c r="A13" s="89" t="s">
        <v>86</v>
      </c>
      <c r="B13" s="1118">
        <f>IF(B12=2,2,IF(B12=3,2,IF(B12=4,4,IF(B12=5,3,4))))</f>
        <v>2</v>
      </c>
      <c r="C13" s="1172" t="s">
        <v>29</v>
      </c>
      <c r="D13" s="1172"/>
      <c r="G13" s="69"/>
      <c r="H13" s="69"/>
      <c r="I13" s="69"/>
    </row>
    <row r="14" spans="1:10" ht="12" thickBot="1">
      <c r="A14" s="1242"/>
      <c r="B14" s="1243"/>
      <c r="C14" s="1243"/>
      <c r="D14" s="1243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9" t="s">
        <v>1087</v>
      </c>
      <c r="B16" s="79">
        <f>(B4+0.3)*B13</f>
        <v>3.44</v>
      </c>
      <c r="C16" s="835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157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173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174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175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95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158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166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232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168</v>
      </c>
      <c r="B32" s="72">
        <f>B8-B9</f>
        <v>24</v>
      </c>
      <c r="C32" s="832"/>
      <c r="D32" s="157">
        <f t="shared" ref="D32:D41" si="1">B32*C32</f>
        <v>0</v>
      </c>
    </row>
    <row r="33" spans="1:4">
      <c r="A33" s="160" t="s">
        <v>1090</v>
      </c>
      <c r="B33" s="72">
        <f>IF(B4&gt;2.1,B12*B8,0)</f>
        <v>0</v>
      </c>
      <c r="C33" s="832"/>
      <c r="D33" s="1090">
        <f t="shared" si="1"/>
        <v>0</v>
      </c>
    </row>
    <row r="34" spans="1:4">
      <c r="A34" s="160" t="s">
        <v>1091</v>
      </c>
      <c r="B34" s="72">
        <f>IF(B4&gt;2.1,B12*B8,0)</f>
        <v>0</v>
      </c>
      <c r="C34" s="832"/>
      <c r="D34" s="1090">
        <f t="shared" si="1"/>
        <v>0</v>
      </c>
    </row>
    <row r="35" spans="1:4">
      <c r="A35" s="160" t="s">
        <v>1088</v>
      </c>
      <c r="B35" s="72">
        <f>IF(B4&lt;=2.1,B12*B8,0)</f>
        <v>75</v>
      </c>
      <c r="C35" s="832"/>
      <c r="D35" s="1090">
        <f t="shared" si="1"/>
        <v>0</v>
      </c>
    </row>
    <row r="36" spans="1:4">
      <c r="A36" s="159" t="s">
        <v>1089</v>
      </c>
      <c r="B36" s="72">
        <f>IF(B4&lt;=2.1,B12*B8,0)</f>
        <v>75</v>
      </c>
      <c r="C36" s="832"/>
      <c r="D36" s="157">
        <f t="shared" si="1"/>
        <v>0</v>
      </c>
    </row>
    <row r="37" spans="1:4">
      <c r="A37" s="159" t="s">
        <v>169</v>
      </c>
      <c r="B37" s="72">
        <f>B8*2+(B8-B9)*2</f>
        <v>98</v>
      </c>
      <c r="C37" s="832"/>
      <c r="D37" s="157">
        <f t="shared" si="1"/>
        <v>0</v>
      </c>
    </row>
    <row r="38" spans="1:4">
      <c r="A38" s="159" t="s">
        <v>170</v>
      </c>
      <c r="B38" s="72">
        <f>B8*2</f>
        <v>50</v>
      </c>
      <c r="C38" s="832"/>
      <c r="D38" s="157">
        <f t="shared" si="1"/>
        <v>0</v>
      </c>
    </row>
    <row r="39" spans="1:4">
      <c r="A39" s="131" t="s">
        <v>162</v>
      </c>
      <c r="B39" s="72">
        <f>B10</f>
        <v>2</v>
      </c>
      <c r="C39" s="832"/>
      <c r="D39" s="157">
        <f t="shared" si="1"/>
        <v>0</v>
      </c>
    </row>
    <row r="40" spans="1:4">
      <c r="A40" s="131" t="s">
        <v>171</v>
      </c>
      <c r="B40" s="73">
        <f>B8</f>
        <v>25</v>
      </c>
      <c r="C40" s="887"/>
      <c r="D40" s="157">
        <f t="shared" si="1"/>
        <v>0</v>
      </c>
    </row>
    <row r="41" spans="1:4" ht="12" thickBot="1">
      <c r="A41" s="30" t="s">
        <v>172</v>
      </c>
      <c r="B41" s="158">
        <f>B11</f>
        <v>3</v>
      </c>
      <c r="C41" s="888"/>
      <c r="D41" s="157">
        <f t="shared" si="1"/>
        <v>0</v>
      </c>
    </row>
    <row r="42" spans="1:4" ht="12" thickBot="1">
      <c r="A42" s="1240" t="s">
        <v>91</v>
      </c>
      <c r="B42" s="1241"/>
      <c r="C42" s="1241"/>
      <c r="D42" s="1241"/>
    </row>
    <row r="43" spans="1:4">
      <c r="A43" s="90" t="s">
        <v>88</v>
      </c>
      <c r="B43" s="52">
        <f>(ROUND((B4-0.025)/0.0215,0))*B8</f>
        <v>1625</v>
      </c>
      <c r="C43" s="886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5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8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1:D1"/>
    <mergeCell ref="A2:D2"/>
    <mergeCell ref="C3:D3"/>
    <mergeCell ref="C4:D4"/>
    <mergeCell ref="C5:D5"/>
    <mergeCell ref="A42:D42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29" t="s">
        <v>1031</v>
      </c>
      <c r="B1" s="1130"/>
      <c r="C1" s="1130"/>
      <c r="D1" s="1130"/>
      <c r="E1" s="1184"/>
    </row>
    <row r="2" spans="1:5" ht="15" thickBot="1">
      <c r="A2" s="1185" t="s">
        <v>1092</v>
      </c>
      <c r="B2" s="1186"/>
      <c r="C2" s="1186"/>
      <c r="D2" s="1186"/>
      <c r="E2" s="1187"/>
    </row>
    <row r="3" spans="1:5">
      <c r="A3" s="1115" t="s">
        <v>6</v>
      </c>
      <c r="B3" s="827">
        <v>1.1599999999999999</v>
      </c>
      <c r="C3" s="1189" t="s">
        <v>30</v>
      </c>
      <c r="D3" s="1189"/>
      <c r="E3" s="1132"/>
    </row>
    <row r="4" spans="1:5">
      <c r="A4" s="1116" t="s">
        <v>1</v>
      </c>
      <c r="B4" s="1125">
        <v>1.65</v>
      </c>
      <c r="C4" s="1201" t="s">
        <v>30</v>
      </c>
      <c r="D4" s="1201"/>
      <c r="E4" s="1218"/>
    </row>
    <row r="5" spans="1:5">
      <c r="A5" s="1116" t="s">
        <v>728</v>
      </c>
      <c r="B5" s="870">
        <v>1</v>
      </c>
      <c r="C5" s="1191" t="s">
        <v>30</v>
      </c>
      <c r="D5" s="1191"/>
      <c r="E5" s="1192"/>
    </row>
    <row r="6" spans="1:5">
      <c r="A6" s="1116" t="s">
        <v>1032</v>
      </c>
      <c r="B6" s="1125">
        <v>0</v>
      </c>
      <c r="C6" s="1246" t="s">
        <v>33</v>
      </c>
      <c r="D6" s="1246"/>
      <c r="E6" s="1247"/>
    </row>
    <row r="7" spans="1:5">
      <c r="A7" s="1116" t="s">
        <v>1033</v>
      </c>
      <c r="B7" s="870">
        <v>1</v>
      </c>
      <c r="C7" s="1246" t="s">
        <v>1034</v>
      </c>
      <c r="D7" s="1246"/>
      <c r="E7" s="1247"/>
    </row>
    <row r="8" spans="1:5">
      <c r="A8" s="1116" t="s">
        <v>529</v>
      </c>
      <c r="B8" s="870">
        <v>1</v>
      </c>
      <c r="C8" s="1096" t="s">
        <v>1035</v>
      </c>
      <c r="D8" s="1248" t="s">
        <v>1036</v>
      </c>
      <c r="E8" s="1239"/>
    </row>
    <row r="9" spans="1:5">
      <c r="A9" s="1116" t="s">
        <v>1037</v>
      </c>
      <c r="B9" s="1125">
        <v>1</v>
      </c>
      <c r="C9" s="1246" t="s">
        <v>33</v>
      </c>
      <c r="D9" s="1246"/>
      <c r="E9" s="1247"/>
    </row>
    <row r="10" spans="1:5">
      <c r="A10" s="1117" t="s">
        <v>53</v>
      </c>
      <c r="B10" s="906">
        <v>1</v>
      </c>
      <c r="C10" s="1253" t="s">
        <v>30</v>
      </c>
      <c r="D10" s="1253"/>
      <c r="E10" s="1254"/>
    </row>
    <row r="11" spans="1:5" ht="23.25" customHeight="1">
      <c r="A11" s="1117" t="s">
        <v>587</v>
      </c>
      <c r="B11" s="906"/>
      <c r="C11" s="1250" t="s">
        <v>1081</v>
      </c>
      <c r="D11" s="1251"/>
      <c r="E11" s="1252"/>
    </row>
    <row r="12" spans="1:5" ht="12" customHeight="1">
      <c r="A12" s="1117" t="s">
        <v>143</v>
      </c>
      <c r="B12" s="906"/>
      <c r="C12" s="1119"/>
      <c r="D12" s="1120"/>
      <c r="E12" s="1121"/>
    </row>
    <row r="13" spans="1:5" ht="13.5" customHeight="1">
      <c r="A13" s="1117" t="s">
        <v>146</v>
      </c>
      <c r="B13" s="906"/>
      <c r="C13" s="1119"/>
      <c r="D13" s="1120"/>
      <c r="E13" s="1121"/>
    </row>
    <row r="14" spans="1:5">
      <c r="A14" s="89" t="s">
        <v>87</v>
      </c>
      <c r="B14" s="1097">
        <f>IF(B3&lt;=0.669,2,IF(B3&lt;=1.049,3,IF(B3&lt;=1.449,4,IF(B3&lt;=1.799,5,IF(B3&lt;=2.249,6,7)))))</f>
        <v>4</v>
      </c>
      <c r="C14" s="1172" t="s">
        <v>29</v>
      </c>
      <c r="D14" s="1172"/>
      <c r="E14" s="1173"/>
    </row>
    <row r="15" spans="1:5">
      <c r="A15" s="89" t="s">
        <v>86</v>
      </c>
      <c r="B15" s="1097">
        <f>IF(B3&lt;=1.054,2,IF(B3&lt;=1.454,4,IF(B3&lt;=1.804,3,IF(B3&lt;=2.249,4,IF(B3&lt;=3,4,0)))))</f>
        <v>4</v>
      </c>
      <c r="C15" s="1172" t="s">
        <v>29</v>
      </c>
      <c r="D15" s="1172"/>
      <c r="E15" s="1173"/>
    </row>
    <row r="16" spans="1:5" ht="12" thickBot="1"/>
    <row r="17" spans="1:5" ht="12.75">
      <c r="A17" s="1092" t="s">
        <v>7</v>
      </c>
      <c r="B17" s="1094" t="s">
        <v>85</v>
      </c>
      <c r="C17" s="1092" t="s">
        <v>0</v>
      </c>
      <c r="D17" s="56" t="s">
        <v>4</v>
      </c>
      <c r="E17" s="1093" t="s">
        <v>8</v>
      </c>
    </row>
    <row r="18" spans="1:5">
      <c r="A18" s="159" t="s">
        <v>1080</v>
      </c>
      <c r="B18" s="1099" t="s">
        <v>1079</v>
      </c>
      <c r="C18" s="1100">
        <f>(IF(B15=2,(B4+B5)*2+B3,IF(B15=3,((B4+B5)*2+B3)*1.5,IF(B15=4,((B4+B5)*2+B3)*2))))*B10</f>
        <v>12.92</v>
      </c>
      <c r="D18" s="1101"/>
      <c r="E18" s="1055">
        <f>C18*D18</f>
        <v>0</v>
      </c>
    </row>
    <row r="19" spans="1:5" ht="15" customHeight="1">
      <c r="A19" s="1102" t="s">
        <v>1068</v>
      </c>
      <c r="B19" s="1099" t="s">
        <v>1069</v>
      </c>
      <c r="C19" s="1103">
        <f>B14*B10</f>
        <v>4</v>
      </c>
      <c r="D19" s="1101"/>
      <c r="E19" s="1055">
        <f t="shared" ref="E19:E53" si="0">C19*D19</f>
        <v>0</v>
      </c>
    </row>
    <row r="20" spans="1:5" ht="25.5" customHeight="1">
      <c r="A20" s="1098" t="s">
        <v>1065</v>
      </c>
      <c r="B20" s="1099" t="s">
        <v>1066</v>
      </c>
      <c r="C20" s="1104">
        <f>B15*0.04*B10</f>
        <v>0.16</v>
      </c>
      <c r="D20" s="1105"/>
      <c r="E20" s="1055">
        <f t="shared" si="0"/>
        <v>0</v>
      </c>
    </row>
    <row r="21" spans="1:5" ht="33.75">
      <c r="A21" s="1098" t="s">
        <v>1038</v>
      </c>
      <c r="B21" s="1099" t="s">
        <v>1039</v>
      </c>
      <c r="C21" s="1104">
        <f>IF(B6=0,B14*B10,0)</f>
        <v>4</v>
      </c>
      <c r="D21" s="1105"/>
      <c r="E21" s="1055">
        <f t="shared" si="0"/>
        <v>0</v>
      </c>
    </row>
    <row r="22" spans="1:5">
      <c r="A22" s="1098" t="s">
        <v>1040</v>
      </c>
      <c r="B22" s="1099" t="s">
        <v>1041</v>
      </c>
      <c r="C22" s="1104">
        <f>IF(B6=1,B14*B10,0)</f>
        <v>0</v>
      </c>
      <c r="D22" s="1105"/>
      <c r="E22" s="1055">
        <f t="shared" si="0"/>
        <v>0</v>
      </c>
    </row>
    <row r="23" spans="1:5">
      <c r="A23" s="1102" t="s">
        <v>1042</v>
      </c>
      <c r="B23" s="1099" t="s">
        <v>1043</v>
      </c>
      <c r="C23" s="1104">
        <f>(B14*2)*B10</f>
        <v>8</v>
      </c>
      <c r="D23" s="1105"/>
      <c r="E23" s="1055">
        <f t="shared" si="0"/>
        <v>0</v>
      </c>
    </row>
    <row r="24" spans="1:5" ht="22.5">
      <c r="A24" s="1102" t="s">
        <v>1044</v>
      </c>
      <c r="B24" s="1099" t="s">
        <v>1045</v>
      </c>
      <c r="C24" s="1104">
        <f>(B3-0.005)*B10</f>
        <v>1.155</v>
      </c>
      <c r="D24" s="1105"/>
      <c r="E24" s="1055">
        <f t="shared" si="0"/>
        <v>0</v>
      </c>
    </row>
    <row r="25" spans="1:5" ht="45">
      <c r="A25" s="1102" t="s">
        <v>1046</v>
      </c>
      <c r="B25" s="1099" t="s">
        <v>1047</v>
      </c>
      <c r="C25" s="1104">
        <f>B14*B10</f>
        <v>4</v>
      </c>
      <c r="D25" s="1105"/>
      <c r="E25" s="1055">
        <f t="shared" si="0"/>
        <v>0</v>
      </c>
    </row>
    <row r="26" spans="1:5">
      <c r="A26" s="1102" t="s">
        <v>140</v>
      </c>
      <c r="B26" s="1099" t="s">
        <v>1074</v>
      </c>
      <c r="C26" s="1104">
        <f>1*B10</f>
        <v>1</v>
      </c>
      <c r="D26" s="1105"/>
      <c r="E26" s="1055">
        <f t="shared" si="0"/>
        <v>0</v>
      </c>
    </row>
    <row r="27" spans="1:5">
      <c r="A27" s="1102" t="s">
        <v>1075</v>
      </c>
      <c r="B27" s="1099" t="s">
        <v>1076</v>
      </c>
      <c r="C27" s="1104">
        <f>2*B10</f>
        <v>2</v>
      </c>
      <c r="D27" s="1122"/>
      <c r="E27" s="1055">
        <f t="shared" si="0"/>
        <v>0</v>
      </c>
    </row>
    <row r="28" spans="1:5">
      <c r="A28" s="1102" t="s">
        <v>1077</v>
      </c>
      <c r="B28" s="1099" t="s">
        <v>1078</v>
      </c>
      <c r="C28" s="1104">
        <f>(IF(B3&lt;0.61,2,IF(B3&lt;1.01,3,IF(B3&lt;1.5,4,IF(B3&lt;1.8,5,6)))))*B10</f>
        <v>4</v>
      </c>
      <c r="D28" s="1122"/>
      <c r="E28" s="1055">
        <f t="shared" si="0"/>
        <v>0</v>
      </c>
    </row>
    <row r="29" spans="1:5">
      <c r="A29" s="1102" t="s">
        <v>1048</v>
      </c>
      <c r="B29" s="1099" t="s">
        <v>1049</v>
      </c>
      <c r="C29" s="1104">
        <f>2*B10</f>
        <v>2</v>
      </c>
      <c r="D29" s="1122"/>
      <c r="E29" s="1055">
        <f t="shared" si="0"/>
        <v>0</v>
      </c>
    </row>
    <row r="30" spans="1:5">
      <c r="A30" s="1102" t="s">
        <v>1050</v>
      </c>
      <c r="B30" s="1099" t="s">
        <v>1051</v>
      </c>
      <c r="C30" s="1104">
        <f>IF(B6=0,(B4+0.15)*B14*B10,0)</f>
        <v>7.1999999999999993</v>
      </c>
      <c r="D30" s="1122"/>
      <c r="E30" s="1055">
        <f t="shared" si="0"/>
        <v>0</v>
      </c>
    </row>
    <row r="31" spans="1:5">
      <c r="A31" s="1102" t="s">
        <v>1052</v>
      </c>
      <c r="B31" s="1099" t="s">
        <v>1053</v>
      </c>
      <c r="C31" s="1104">
        <f>IF(B6=1,(B4+0.15)*B14*B10,0)</f>
        <v>0</v>
      </c>
      <c r="D31" s="1122"/>
      <c r="E31" s="1055">
        <f t="shared" si="0"/>
        <v>0</v>
      </c>
    </row>
    <row r="32" spans="1:5">
      <c r="A32" s="1102" t="s">
        <v>141</v>
      </c>
      <c r="B32" s="1099" t="s">
        <v>1072</v>
      </c>
      <c r="C32" s="1104">
        <f>1*B10</f>
        <v>1</v>
      </c>
      <c r="D32" s="1122"/>
      <c r="E32" s="1055">
        <f t="shared" si="0"/>
        <v>0</v>
      </c>
    </row>
    <row r="33" spans="1:5">
      <c r="A33" s="1102" t="s">
        <v>777</v>
      </c>
      <c r="B33" s="1099" t="s">
        <v>1067</v>
      </c>
      <c r="C33" s="1104">
        <f>(B3-0.12)*B10</f>
        <v>1.04</v>
      </c>
      <c r="D33" s="1122"/>
      <c r="E33" s="1055">
        <f t="shared" si="0"/>
        <v>0</v>
      </c>
    </row>
    <row r="34" spans="1:5">
      <c r="A34" s="1102" t="s">
        <v>1070</v>
      </c>
      <c r="B34" s="1099" t="s">
        <v>1071</v>
      </c>
      <c r="C34" s="1100">
        <f>IF(B6=0,IF(B7=1,B14*B10,0),0)</f>
        <v>4</v>
      </c>
      <c r="D34" s="1123"/>
      <c r="E34" s="1055">
        <f t="shared" si="0"/>
        <v>0</v>
      </c>
    </row>
    <row r="35" spans="1:5">
      <c r="A35" s="1102" t="s">
        <v>1054</v>
      </c>
      <c r="B35" s="1099" t="s">
        <v>1055</v>
      </c>
      <c r="C35" s="1100">
        <f>IF(B9=1,2*B10,0)</f>
        <v>2</v>
      </c>
      <c r="D35" s="1123"/>
      <c r="E35" s="1055">
        <f t="shared" si="0"/>
        <v>0</v>
      </c>
    </row>
    <row r="36" spans="1:5">
      <c r="A36" s="1102" t="s">
        <v>780</v>
      </c>
      <c r="B36" s="1099" t="s">
        <v>1073</v>
      </c>
      <c r="C36" s="1100">
        <f>1*B10</f>
        <v>1</v>
      </c>
      <c r="D36" s="1123"/>
      <c r="E36" s="1055">
        <f t="shared" si="0"/>
        <v>0</v>
      </c>
    </row>
    <row r="37" spans="1:5">
      <c r="A37" s="1102" t="s">
        <v>890</v>
      </c>
      <c r="B37" s="1099" t="s">
        <v>1056</v>
      </c>
      <c r="C37" s="1100">
        <f>IF(B9=1,8*B10,0)</f>
        <v>8</v>
      </c>
      <c r="D37" s="1123"/>
      <c r="E37" s="1055">
        <f t="shared" si="0"/>
        <v>0</v>
      </c>
    </row>
    <row r="38" spans="1:5">
      <c r="A38" s="1106" t="s">
        <v>1057</v>
      </c>
      <c r="B38" s="1107" t="s">
        <v>1058</v>
      </c>
      <c r="C38" s="1108">
        <f>IF(AND(B8=1,B8=2),2*B10,0)</f>
        <v>0</v>
      </c>
      <c r="D38" s="1124"/>
      <c r="E38" s="1055">
        <f t="shared" si="0"/>
        <v>0</v>
      </c>
    </row>
    <row r="39" spans="1:5">
      <c r="A39" s="1106" t="s">
        <v>897</v>
      </c>
      <c r="B39" s="1107" t="s">
        <v>1059</v>
      </c>
      <c r="C39" s="1108">
        <f>IF(AND(B8=1,B8=2),(В4*2+0.3)*B10,0)</f>
        <v>0</v>
      </c>
      <c r="D39" s="1124"/>
      <c r="E39" s="1055">
        <f t="shared" si="0"/>
        <v>0</v>
      </c>
    </row>
    <row r="40" spans="1:5">
      <c r="A40" s="1106" t="s">
        <v>895</v>
      </c>
      <c r="B40" s="1107" t="s">
        <v>1060</v>
      </c>
      <c r="C40" s="1109">
        <f>IF(AND(B8=1,B8=2),4*B10,0)</f>
        <v>0</v>
      </c>
      <c r="D40" s="1124"/>
      <c r="E40" s="1055">
        <f t="shared" si="0"/>
        <v>0</v>
      </c>
    </row>
    <row r="41" spans="1:5" ht="13.5" customHeight="1">
      <c r="A41" s="1106" t="s">
        <v>1061</v>
      </c>
      <c r="B41" s="1107" t="s">
        <v>1062</v>
      </c>
      <c r="C41" s="1108">
        <f>IF(B8=1,2*B10,0)</f>
        <v>2</v>
      </c>
      <c r="D41" s="1124"/>
      <c r="E41" s="1055">
        <f t="shared" si="0"/>
        <v>0</v>
      </c>
    </row>
    <row r="42" spans="1:5" ht="13.5" customHeight="1">
      <c r="A42" s="50" t="s">
        <v>905</v>
      </c>
      <c r="B42" s="1107" t="s">
        <v>1082</v>
      </c>
      <c r="C42" s="1108">
        <f>IF(B11=2,B10,0)</f>
        <v>0</v>
      </c>
      <c r="D42" s="1124"/>
      <c r="E42" s="1055">
        <f t="shared" si="0"/>
        <v>0</v>
      </c>
    </row>
    <row r="43" spans="1:5" ht="13.5" customHeight="1">
      <c r="A43" s="50" t="s">
        <v>904</v>
      </c>
      <c r="B43" s="1107" t="s">
        <v>1083</v>
      </c>
      <c r="C43" s="1108">
        <f>IF(B11=1,B10,0)</f>
        <v>0</v>
      </c>
      <c r="D43" s="1124"/>
      <c r="E43" s="1055">
        <f t="shared" si="0"/>
        <v>0</v>
      </c>
    </row>
    <row r="44" spans="1:5" ht="13.5" customHeight="1">
      <c r="A44" s="50" t="s">
        <v>906</v>
      </c>
      <c r="B44" s="1107" t="s">
        <v>1084</v>
      </c>
      <c r="C44" s="1108">
        <f>IF(B11=6,B10,0)</f>
        <v>0</v>
      </c>
      <c r="D44" s="1124"/>
      <c r="E44" s="1055">
        <f t="shared" si="0"/>
        <v>0</v>
      </c>
    </row>
    <row r="45" spans="1:5" ht="13.5" customHeight="1">
      <c r="A45" s="50" t="s">
        <v>929</v>
      </c>
      <c r="B45" s="1107" t="s">
        <v>1085</v>
      </c>
      <c r="C45" s="1108">
        <f>IF(B11=3,B10,0)</f>
        <v>0</v>
      </c>
      <c r="D45" s="1124"/>
      <c r="E45" s="1055">
        <f t="shared" si="0"/>
        <v>0</v>
      </c>
    </row>
    <row r="46" spans="1:5" ht="13.5" customHeight="1">
      <c r="A46" s="50" t="s">
        <v>909</v>
      </c>
      <c r="B46" s="1107" t="s">
        <v>1086</v>
      </c>
      <c r="C46" s="1108">
        <f>IF(B11=5,B10,0)</f>
        <v>0</v>
      </c>
      <c r="D46" s="1124"/>
      <c r="E46" s="1055">
        <f t="shared" si="0"/>
        <v>0</v>
      </c>
    </row>
    <row r="47" spans="1:5" ht="13.5" customHeight="1">
      <c r="A47" s="131" t="s">
        <v>162</v>
      </c>
      <c r="B47" s="1107"/>
      <c r="C47" s="1108">
        <f>B12</f>
        <v>0</v>
      </c>
      <c r="D47" s="1124"/>
      <c r="E47" s="1055">
        <f t="shared" si="0"/>
        <v>0</v>
      </c>
    </row>
    <row r="48" spans="1:5" ht="13.5" customHeight="1" thickBot="1">
      <c r="A48" s="30" t="s">
        <v>172</v>
      </c>
      <c r="B48" s="1107"/>
      <c r="C48" s="1108">
        <f>B13</f>
        <v>0</v>
      </c>
      <c r="D48" s="1124"/>
      <c r="E48" s="1055">
        <f t="shared" si="0"/>
        <v>0</v>
      </c>
    </row>
    <row r="49" spans="1:5" ht="12" thickBot="1">
      <c r="A49" s="1106" t="s">
        <v>1063</v>
      </c>
      <c r="B49" s="1107" t="s">
        <v>1064</v>
      </c>
      <c r="C49" s="1108">
        <f>IF(B8=2,2*B10,0)</f>
        <v>0</v>
      </c>
      <c r="D49" s="1124"/>
      <c r="E49" s="1055">
        <f t="shared" si="0"/>
        <v>0</v>
      </c>
    </row>
    <row r="50" spans="1:5" ht="12" thickBot="1">
      <c r="A50" s="1249" t="s">
        <v>91</v>
      </c>
      <c r="B50" s="1249"/>
      <c r="C50" s="1249"/>
      <c r="D50" s="1249"/>
      <c r="E50" s="1249"/>
    </row>
    <row r="51" spans="1:5">
      <c r="A51" s="90" t="s">
        <v>88</v>
      </c>
      <c r="B51" s="1111" t="s">
        <v>30</v>
      </c>
      <c r="C51" s="1088">
        <f>(ROUND((B4-0.05)/0.044,0))*B10</f>
        <v>36</v>
      </c>
      <c r="D51" s="886"/>
      <c r="E51" s="1112">
        <f t="shared" si="0"/>
        <v>0</v>
      </c>
    </row>
    <row r="52" spans="1:5">
      <c r="A52" s="91" t="s">
        <v>89</v>
      </c>
      <c r="B52" s="1113" t="s">
        <v>30</v>
      </c>
      <c r="C52" s="1089">
        <f>B10</f>
        <v>1</v>
      </c>
      <c r="D52" s="835"/>
      <c r="E52" s="1055">
        <f t="shared" si="0"/>
        <v>0</v>
      </c>
    </row>
    <row r="53" spans="1:5" ht="12" thickBot="1">
      <c r="A53" s="92" t="s">
        <v>90</v>
      </c>
      <c r="B53" s="1114" t="s">
        <v>30</v>
      </c>
      <c r="C53" s="1091">
        <f>B10</f>
        <v>1</v>
      </c>
      <c r="D53" s="888"/>
      <c r="E53" s="1110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6:E6"/>
    <mergeCell ref="A1:E1"/>
    <mergeCell ref="A2:E2"/>
    <mergeCell ref="C3:E3"/>
    <mergeCell ref="C4:E4"/>
    <mergeCell ref="C5:E5"/>
    <mergeCell ref="C7:E7"/>
    <mergeCell ref="D8:E8"/>
    <mergeCell ref="C15:E15"/>
    <mergeCell ref="A50:E50"/>
    <mergeCell ref="C11:E11"/>
    <mergeCell ref="C9:E9"/>
    <mergeCell ref="C10:E10"/>
    <mergeCell ref="C14:E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6"/>
  <sheetViews>
    <sheetView topLeftCell="A40" zoomScale="145" zoomScaleNormal="145" zoomScaleSheetLayoutView="100" workbookViewId="0">
      <selection activeCell="E76" sqref="E76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55" t="s">
        <v>887</v>
      </c>
      <c r="B1" s="1255"/>
      <c r="C1" s="1255"/>
      <c r="D1" s="1255"/>
    </row>
    <row r="2" spans="1:11" ht="11.25" customHeight="1">
      <c r="A2" s="108" t="s">
        <v>10</v>
      </c>
      <c r="B2" s="827">
        <v>2</v>
      </c>
      <c r="C2" s="1256" t="s">
        <v>30</v>
      </c>
      <c r="D2" s="125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58" t="s">
        <v>30</v>
      </c>
      <c r="D3" s="1259"/>
      <c r="F3" s="1154"/>
      <c r="G3" s="1155"/>
      <c r="H3" s="1155"/>
      <c r="I3" s="1155"/>
      <c r="J3" s="1155"/>
      <c r="K3" s="1156"/>
    </row>
    <row r="4" spans="1:11">
      <c r="A4" s="120" t="s">
        <v>36</v>
      </c>
      <c r="B4" s="893">
        <v>2</v>
      </c>
      <c r="C4" s="1256" t="s">
        <v>868</v>
      </c>
      <c r="D4" s="1257" t="s">
        <v>869</v>
      </c>
      <c r="F4" s="119"/>
      <c r="G4" s="119"/>
      <c r="H4" s="119"/>
      <c r="I4" s="119"/>
      <c r="J4" s="119"/>
      <c r="K4" s="119"/>
    </row>
    <row r="5" spans="1:11">
      <c r="A5" s="109" t="s">
        <v>870</v>
      </c>
      <c r="B5" s="829">
        <v>1</v>
      </c>
      <c r="C5" s="1260" t="s">
        <v>30</v>
      </c>
      <c r="D5" s="1261"/>
    </row>
    <row r="6" spans="1:11" ht="13.5" customHeight="1" thickBot="1">
      <c r="A6" s="143" t="s">
        <v>871</v>
      </c>
      <c r="B6" s="894">
        <v>0</v>
      </c>
      <c r="C6" s="1258" t="s">
        <v>30</v>
      </c>
      <c r="D6" s="1259"/>
    </row>
    <row r="7" spans="1:11" ht="12" thickBot="1">
      <c r="A7" s="818" t="s">
        <v>872</v>
      </c>
      <c r="B7" s="895">
        <v>0</v>
      </c>
      <c r="C7" s="1262" t="s">
        <v>30</v>
      </c>
      <c r="D7" s="1263"/>
    </row>
    <row r="8" spans="1:11" ht="12" thickBot="1">
      <c r="A8" s="818" t="s">
        <v>873</v>
      </c>
      <c r="B8" s="895">
        <v>0</v>
      </c>
      <c r="C8" s="1262" t="s">
        <v>30</v>
      </c>
      <c r="D8" s="1263"/>
    </row>
    <row r="9" spans="1:11" ht="12" thickBot="1">
      <c r="A9" s="146" t="s">
        <v>874</v>
      </c>
      <c r="B9" s="896">
        <v>0</v>
      </c>
      <c r="C9" s="1262" t="s">
        <v>30</v>
      </c>
      <c r="D9" s="1263"/>
    </row>
    <row r="10" spans="1:11" ht="12" thickBot="1">
      <c r="A10" s="146" t="s">
        <v>875</v>
      </c>
      <c r="B10" s="896">
        <v>0</v>
      </c>
      <c r="C10" s="1262" t="s">
        <v>30</v>
      </c>
      <c r="D10" s="1263"/>
    </row>
    <row r="11" spans="1:11" ht="12.75">
      <c r="A11" s="919" t="s">
        <v>876</v>
      </c>
      <c r="B11" s="97">
        <v>0</v>
      </c>
      <c r="C11" s="117" t="s">
        <v>30</v>
      </c>
      <c r="D11" s="918"/>
      <c r="E11" s="5"/>
      <c r="F11" s="5"/>
      <c r="G11" s="5"/>
      <c r="H11" s="5"/>
      <c r="I11" s="5"/>
      <c r="J11" s="5"/>
      <c r="K11" s="5"/>
    </row>
    <row r="12" spans="1:11" ht="12.75">
      <c r="A12" s="922" t="s">
        <v>877</v>
      </c>
      <c r="B12" s="920">
        <v>0</v>
      </c>
      <c r="C12" s="921" t="s">
        <v>30</v>
      </c>
      <c r="D12" s="923"/>
    </row>
    <row r="13" spans="1:11">
      <c r="A13" s="6" t="s">
        <v>878</v>
      </c>
      <c r="B13" s="930">
        <v>0</v>
      </c>
      <c r="C13" s="847" t="s">
        <v>30</v>
      </c>
      <c r="D13" s="916"/>
    </row>
    <row r="14" spans="1:11">
      <c r="A14" s="6" t="s">
        <v>879</v>
      </c>
      <c r="B14" s="930">
        <v>0</v>
      </c>
      <c r="C14" s="847" t="s">
        <v>30</v>
      </c>
      <c r="D14" s="916"/>
      <c r="E14" s="69"/>
      <c r="F14" s="69"/>
    </row>
    <row r="15" spans="1:11">
      <c r="A15" s="6" t="s">
        <v>928</v>
      </c>
      <c r="B15" s="930">
        <v>1</v>
      </c>
      <c r="C15" s="847" t="s">
        <v>30</v>
      </c>
      <c r="D15" s="916"/>
      <c r="E15" s="69"/>
      <c r="F15" s="69"/>
    </row>
    <row r="16" spans="1:11">
      <c r="A16" s="7" t="s">
        <v>880</v>
      </c>
      <c r="B16" s="931">
        <v>0</v>
      </c>
      <c r="C16" s="847" t="s">
        <v>30</v>
      </c>
      <c r="D16" s="916"/>
    </row>
    <row r="17" spans="1:11">
      <c r="A17" s="6" t="s">
        <v>915</v>
      </c>
      <c r="B17" s="930">
        <v>1</v>
      </c>
      <c r="C17" s="847" t="s">
        <v>30</v>
      </c>
      <c r="D17" s="916"/>
    </row>
    <row r="18" spans="1:11">
      <c r="A18" s="7" t="s">
        <v>916</v>
      </c>
      <c r="B18" s="931">
        <v>0</v>
      </c>
      <c r="C18" s="847" t="s">
        <v>30</v>
      </c>
      <c r="D18" s="916"/>
    </row>
    <row r="19" spans="1:11">
      <c r="A19" s="6" t="s">
        <v>919</v>
      </c>
      <c r="B19" s="930">
        <v>0</v>
      </c>
      <c r="C19" s="847" t="s">
        <v>30</v>
      </c>
      <c r="D19" s="916"/>
    </row>
    <row r="20" spans="1:11">
      <c r="A20" s="6" t="s">
        <v>920</v>
      </c>
      <c r="B20" s="930">
        <v>0</v>
      </c>
      <c r="C20" s="847" t="s">
        <v>30</v>
      </c>
      <c r="D20" s="916"/>
    </row>
    <row r="21" spans="1:11">
      <c r="A21" s="7" t="s">
        <v>921</v>
      </c>
      <c r="B21" s="931">
        <v>0</v>
      </c>
      <c r="C21" s="847" t="s">
        <v>30</v>
      </c>
      <c r="D21" s="916"/>
    </row>
    <row r="22" spans="1:11">
      <c r="A22" s="6" t="s">
        <v>922</v>
      </c>
      <c r="B22" s="930">
        <v>0</v>
      </c>
      <c r="C22" s="847" t="s">
        <v>30</v>
      </c>
      <c r="D22" s="916"/>
    </row>
    <row r="23" spans="1:11">
      <c r="A23" s="7" t="s">
        <v>927</v>
      </c>
      <c r="B23" s="931">
        <v>0</v>
      </c>
      <c r="C23" s="847" t="s">
        <v>30</v>
      </c>
      <c r="D23" s="916"/>
    </row>
    <row r="24" spans="1:11">
      <c r="A24" s="6" t="s">
        <v>924</v>
      </c>
      <c r="B24" s="930">
        <v>0</v>
      </c>
      <c r="C24" s="847" t="s">
        <v>30</v>
      </c>
      <c r="D24" s="916"/>
      <c r="E24" s="69"/>
      <c r="F24" s="69"/>
    </row>
    <row r="25" spans="1:11">
      <c r="A25" s="7" t="s">
        <v>925</v>
      </c>
      <c r="B25" s="931">
        <v>0</v>
      </c>
      <c r="C25" s="847" t="s">
        <v>30</v>
      </c>
      <c r="D25" s="916"/>
    </row>
    <row r="26" spans="1:11">
      <c r="A26" s="6" t="s">
        <v>926</v>
      </c>
      <c r="B26" s="930">
        <v>0</v>
      </c>
      <c r="C26" s="847" t="s">
        <v>30</v>
      </c>
      <c r="D26" s="916"/>
    </row>
    <row r="27" spans="1:11">
      <c r="A27" s="7" t="s">
        <v>923</v>
      </c>
      <c r="B27" s="931">
        <v>0</v>
      </c>
      <c r="C27" s="847" t="s">
        <v>30</v>
      </c>
      <c r="D27" s="916"/>
    </row>
    <row r="28" spans="1:11">
      <c r="A28" s="6" t="s">
        <v>917</v>
      </c>
      <c r="B28" s="930">
        <v>1</v>
      </c>
      <c r="C28" s="847" t="s">
        <v>30</v>
      </c>
      <c r="D28" s="916"/>
    </row>
    <row r="29" spans="1:11">
      <c r="A29" s="7" t="s">
        <v>145</v>
      </c>
      <c r="B29" s="931">
        <v>1</v>
      </c>
      <c r="C29" s="847" t="s">
        <v>30</v>
      </c>
      <c r="D29" s="916"/>
    </row>
    <row r="30" spans="1:11" ht="12" thickBot="1">
      <c r="A30" s="855" t="s">
        <v>142</v>
      </c>
      <c r="B30" s="932">
        <v>1</v>
      </c>
      <c r="C30" s="897" t="s">
        <v>30</v>
      </c>
      <c r="D30" s="4"/>
    </row>
    <row r="31" spans="1:11" ht="12" thickBot="1">
      <c r="A31" s="853"/>
      <c r="B31" s="854"/>
      <c r="C31" s="898"/>
      <c r="D31" s="69"/>
    </row>
    <row r="32" spans="1:11" s="5" customFormat="1" ht="13.5" customHeight="1">
      <c r="A32" s="924" t="s">
        <v>5</v>
      </c>
      <c r="B32" s="925" t="s">
        <v>0</v>
      </c>
      <c r="C32" s="926" t="s">
        <v>4</v>
      </c>
      <c r="D32" s="927" t="s">
        <v>8</v>
      </c>
      <c r="E32"/>
      <c r="F32"/>
      <c r="G32"/>
      <c r="H32"/>
      <c r="I32"/>
      <c r="J32"/>
      <c r="K32"/>
    </row>
    <row r="33" spans="1:4">
      <c r="A33" s="7" t="s">
        <v>793</v>
      </c>
      <c r="B33" s="929">
        <f>IF(B11+B12=0,2*(B5+B6+B7+B8+B9+B10),2*((B5+B6+B7+B8+B9+B10)-(B11+B12)))</f>
        <v>2</v>
      </c>
      <c r="C33" s="848"/>
      <c r="D33" s="850">
        <f t="shared" ref="D33:D75" si="0">C33*B33</f>
        <v>0</v>
      </c>
    </row>
    <row r="34" spans="1:4">
      <c r="A34" s="7" t="s">
        <v>881</v>
      </c>
      <c r="B34" s="929">
        <f>2*(B11+B12)</f>
        <v>0</v>
      </c>
      <c r="C34" s="848"/>
      <c r="D34" s="850">
        <f t="shared" si="0"/>
        <v>0</v>
      </c>
    </row>
    <row r="35" spans="1:4">
      <c r="A35" s="7" t="s">
        <v>895</v>
      </c>
      <c r="B35" s="929">
        <f>B36*4+B37*4</f>
        <v>0</v>
      </c>
      <c r="C35" s="848"/>
      <c r="D35" s="916">
        <f t="shared" si="0"/>
        <v>0</v>
      </c>
    </row>
    <row r="36" spans="1:4">
      <c r="A36" s="7" t="s">
        <v>882</v>
      </c>
      <c r="B36" s="929">
        <f>B12</f>
        <v>0</v>
      </c>
      <c r="C36" s="848"/>
      <c r="D36" s="850">
        <f t="shared" si="0"/>
        <v>0</v>
      </c>
    </row>
    <row r="37" spans="1:4">
      <c r="A37" s="7" t="s">
        <v>883</v>
      </c>
      <c r="B37" s="929">
        <f>B11</f>
        <v>0</v>
      </c>
      <c r="C37" s="848"/>
      <c r="D37" s="850">
        <f t="shared" si="0"/>
        <v>0</v>
      </c>
    </row>
    <row r="38" spans="1:4">
      <c r="A38" s="6" t="s">
        <v>806</v>
      </c>
      <c r="B38" s="929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896</v>
      </c>
      <c r="B39" s="929">
        <f>B6</f>
        <v>0</v>
      </c>
      <c r="C39" s="848"/>
      <c r="D39" s="850">
        <f t="shared" si="0"/>
        <v>0</v>
      </c>
    </row>
    <row r="40" spans="1:4" ht="12" customHeight="1">
      <c r="A40" s="50" t="s">
        <v>888</v>
      </c>
      <c r="B40" s="933">
        <f>B5</f>
        <v>1</v>
      </c>
      <c r="C40" s="899"/>
      <c r="D40" s="850">
        <f t="shared" si="0"/>
        <v>0</v>
      </c>
    </row>
    <row r="41" spans="1:4">
      <c r="A41" s="50" t="s">
        <v>892</v>
      </c>
      <c r="B41" s="933">
        <f>2*B8</f>
        <v>0</v>
      </c>
      <c r="C41" s="835"/>
      <c r="D41" s="850">
        <f t="shared" si="0"/>
        <v>0</v>
      </c>
    </row>
    <row r="42" spans="1:4">
      <c r="A42" s="50" t="s">
        <v>893</v>
      </c>
      <c r="B42" s="933">
        <f>2*(B9+B10)</f>
        <v>0</v>
      </c>
      <c r="C42" s="835"/>
      <c r="D42" s="850">
        <f t="shared" si="0"/>
        <v>0</v>
      </c>
    </row>
    <row r="43" spans="1:4">
      <c r="A43" s="50" t="s">
        <v>894</v>
      </c>
      <c r="B43" s="933">
        <f>B10+B9+B8</f>
        <v>0</v>
      </c>
      <c r="C43" s="835"/>
      <c r="D43" s="850">
        <f t="shared" si="0"/>
        <v>0</v>
      </c>
    </row>
    <row r="44" spans="1:4">
      <c r="A44" s="7" t="s">
        <v>118</v>
      </c>
      <c r="B44" s="933">
        <f>B2*(B5+B6+B7+B8+B9+B10)</f>
        <v>2</v>
      </c>
      <c r="C44" s="835"/>
      <c r="D44" s="850">
        <f t="shared" si="0"/>
        <v>0</v>
      </c>
    </row>
    <row r="45" spans="1:4">
      <c r="A45" s="50" t="s">
        <v>117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891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795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890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897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889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796</v>
      </c>
      <c r="B51" s="917">
        <f>(IF(B4=2,B2-0.035,B2+0.003))*(B6+B9)</f>
        <v>0</v>
      </c>
      <c r="C51" s="835"/>
      <c r="D51" s="850">
        <f t="shared" si="0"/>
        <v>0</v>
      </c>
    </row>
    <row r="52" spans="1:8">
      <c r="A52" s="50" t="s">
        <v>884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5"/>
    </row>
    <row r="53" spans="1:8">
      <c r="A53" s="50" t="s">
        <v>885</v>
      </c>
      <c r="B53" s="851">
        <f>4*(B11+B12)</f>
        <v>0</v>
      </c>
      <c r="C53" s="835"/>
      <c r="D53" s="850">
        <f t="shared" si="0"/>
        <v>0</v>
      </c>
      <c r="G53" s="1267"/>
      <c r="H53" s="1267"/>
    </row>
    <row r="54" spans="1:8">
      <c r="A54" s="50" t="s">
        <v>898</v>
      </c>
      <c r="B54" s="933">
        <f>B20+B24</f>
        <v>0</v>
      </c>
      <c r="C54" s="835"/>
      <c r="D54" s="916">
        <f t="shared" si="0"/>
        <v>0</v>
      </c>
      <c r="E54" s="928" t="s">
        <v>913</v>
      </c>
      <c r="F54" s="1264" t="s">
        <v>918</v>
      </c>
      <c r="G54" s="1265"/>
      <c r="H54" s="1266"/>
    </row>
    <row r="55" spans="1:8">
      <c r="A55" s="50" t="s">
        <v>899</v>
      </c>
      <c r="B55" s="933">
        <f>B22+B26</f>
        <v>0</v>
      </c>
      <c r="C55" s="835"/>
      <c r="D55" s="916">
        <f t="shared" si="0"/>
        <v>0</v>
      </c>
      <c r="E55" s="928" t="s">
        <v>912</v>
      </c>
      <c r="F55" s="1264"/>
      <c r="G55" s="1265"/>
      <c r="H55" s="1266"/>
    </row>
    <row r="56" spans="1:8">
      <c r="A56" s="50" t="s">
        <v>901</v>
      </c>
      <c r="B56" s="933">
        <f>B21+B25</f>
        <v>0</v>
      </c>
      <c r="C56" s="835"/>
      <c r="D56" s="916">
        <f t="shared" si="0"/>
        <v>0</v>
      </c>
      <c r="E56" s="928" t="s">
        <v>910</v>
      </c>
      <c r="F56" s="1264"/>
      <c r="G56" s="1265"/>
      <c r="H56" s="1266"/>
    </row>
    <row r="57" spans="1:8">
      <c r="A57" s="50" t="s">
        <v>902</v>
      </c>
      <c r="B57" s="933">
        <f>B23+B27</f>
        <v>0</v>
      </c>
      <c r="C57" s="835"/>
      <c r="D57" s="916">
        <f t="shared" si="0"/>
        <v>0</v>
      </c>
      <c r="E57" s="928" t="s">
        <v>914</v>
      </c>
      <c r="F57" s="1264"/>
      <c r="G57" s="1265"/>
      <c r="H57" s="1266"/>
    </row>
    <row r="58" spans="1:8">
      <c r="A58" s="50" t="s">
        <v>905</v>
      </c>
      <c r="B58" s="933">
        <f>B14</f>
        <v>0</v>
      </c>
      <c r="C58" s="835"/>
      <c r="D58" s="916">
        <f t="shared" si="0"/>
        <v>0</v>
      </c>
      <c r="E58" s="928" t="s">
        <v>907</v>
      </c>
      <c r="F58" s="1264"/>
    </row>
    <row r="59" spans="1:8">
      <c r="A59" s="50" t="s">
        <v>904</v>
      </c>
      <c r="B59" s="933">
        <f>B13</f>
        <v>0</v>
      </c>
      <c r="C59" s="835"/>
      <c r="D59" s="916">
        <f t="shared" si="0"/>
        <v>0</v>
      </c>
      <c r="E59" s="928" t="s">
        <v>908</v>
      </c>
      <c r="F59" s="1264"/>
    </row>
    <row r="60" spans="1:8">
      <c r="A60" s="50" t="s">
        <v>906</v>
      </c>
      <c r="B60" s="933">
        <f>B15</f>
        <v>1</v>
      </c>
      <c r="C60" s="835"/>
      <c r="D60" s="916">
        <f t="shared" si="0"/>
        <v>0</v>
      </c>
      <c r="E60" s="928" t="s">
        <v>930</v>
      </c>
      <c r="F60" s="1264"/>
    </row>
    <row r="61" spans="1:8">
      <c r="A61" s="50" t="s">
        <v>929</v>
      </c>
      <c r="B61" s="933">
        <f>B17</f>
        <v>1</v>
      </c>
      <c r="C61" s="835"/>
      <c r="D61" s="916">
        <f t="shared" si="0"/>
        <v>0</v>
      </c>
      <c r="E61" s="928" t="s">
        <v>912</v>
      </c>
      <c r="F61" s="1264"/>
    </row>
    <row r="62" spans="1:8">
      <c r="A62" s="50" t="s">
        <v>909</v>
      </c>
      <c r="B62" s="933">
        <f>B16+B18</f>
        <v>0</v>
      </c>
      <c r="C62" s="835"/>
      <c r="D62" s="916">
        <f t="shared" si="0"/>
        <v>0</v>
      </c>
      <c r="E62" s="928" t="s">
        <v>911</v>
      </c>
      <c r="F62" s="1264"/>
    </row>
    <row r="63" spans="1:8">
      <c r="A63" s="50" t="s">
        <v>138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139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886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900</v>
      </c>
      <c r="B66" s="933">
        <f>B5+B8</f>
        <v>1</v>
      </c>
      <c r="C66" s="835"/>
      <c r="D66" s="850">
        <f t="shared" si="0"/>
        <v>0</v>
      </c>
    </row>
    <row r="67" spans="1:4">
      <c r="A67" s="50" t="s">
        <v>903</v>
      </c>
      <c r="B67" s="933">
        <f>B6+B9</f>
        <v>0</v>
      </c>
      <c r="C67" s="835"/>
      <c r="D67" s="916">
        <f t="shared" si="0"/>
        <v>0</v>
      </c>
    </row>
    <row r="68" spans="1:4">
      <c r="A68" s="50" t="s">
        <v>820</v>
      </c>
      <c r="B68" s="933">
        <f>B25+B27</f>
        <v>0</v>
      </c>
      <c r="C68" s="835"/>
      <c r="D68" s="916">
        <f t="shared" si="0"/>
        <v>0</v>
      </c>
    </row>
    <row r="69" spans="1:4">
      <c r="A69" s="50" t="s">
        <v>798</v>
      </c>
      <c r="B69" s="933">
        <f>B21+B23</f>
        <v>0</v>
      </c>
      <c r="C69" s="835"/>
      <c r="D69" s="916">
        <f t="shared" si="0"/>
        <v>0</v>
      </c>
    </row>
    <row r="70" spans="1:4">
      <c r="A70" s="50" t="s">
        <v>799</v>
      </c>
      <c r="B70" s="933">
        <f>B6+B9</f>
        <v>0</v>
      </c>
      <c r="C70" s="835"/>
      <c r="D70" s="916">
        <f t="shared" si="0"/>
        <v>0</v>
      </c>
    </row>
    <row r="71" spans="1:4">
      <c r="A71" s="50" t="s">
        <v>140</v>
      </c>
      <c r="B71" s="933">
        <f>B7+B10</f>
        <v>0</v>
      </c>
      <c r="C71" s="835"/>
      <c r="D71" s="916">
        <f t="shared" si="0"/>
        <v>0</v>
      </c>
    </row>
    <row r="72" spans="1:4">
      <c r="A72" s="50" t="s">
        <v>141</v>
      </c>
      <c r="B72" s="933">
        <f>B71</f>
        <v>0</v>
      </c>
      <c r="C72" s="835"/>
      <c r="D72" s="916">
        <f t="shared" si="0"/>
        <v>0</v>
      </c>
    </row>
    <row r="73" spans="1:4">
      <c r="A73" s="50" t="s">
        <v>144</v>
      </c>
      <c r="B73" s="933">
        <f>B29</f>
        <v>1</v>
      </c>
      <c r="C73" s="835"/>
      <c r="D73" s="916">
        <f t="shared" si="0"/>
        <v>0</v>
      </c>
    </row>
    <row r="74" spans="1:4">
      <c r="A74" s="50" t="s">
        <v>147</v>
      </c>
      <c r="B74" s="933">
        <f>B28</f>
        <v>1</v>
      </c>
      <c r="C74" s="835"/>
      <c r="D74" s="916">
        <f t="shared" si="0"/>
        <v>0</v>
      </c>
    </row>
    <row r="75" spans="1:4">
      <c r="A75" s="1126" t="s">
        <v>801</v>
      </c>
      <c r="B75" s="1127">
        <f>B30</f>
        <v>1</v>
      </c>
      <c r="C75" s="1128"/>
      <c r="D75" s="1095">
        <f t="shared" si="0"/>
        <v>0</v>
      </c>
    </row>
    <row r="76" spans="1:4" ht="12" thickBot="1">
      <c r="A76" s="803" t="s">
        <v>1093</v>
      </c>
      <c r="B76" s="934">
        <f>B30</f>
        <v>1</v>
      </c>
      <c r="C76" s="888"/>
      <c r="D76" s="4">
        <f>B76*C76</f>
        <v>0</v>
      </c>
    </row>
    <row r="77" spans="1:4">
      <c r="C77" t="s">
        <v>9</v>
      </c>
      <c r="D77">
        <f>SUM(D34:D53)</f>
        <v>0</v>
      </c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>
      <c r="A85" s="93"/>
      <c r="B85" s="94"/>
      <c r="C85" s="95"/>
      <c r="D85" s="69"/>
    </row>
    <row r="86" spans="1:4" ht="16.5" customHeight="1"/>
  </sheetData>
  <sheetProtection algorithmName="SHA-512" hashValue="8oJSKocy5E1bbfs+89BEpxDIZT2PHVw2wUSnOiy2XjhNYeoR7ZWrDXPaDXuRxrkh+Z2i0JVj3IeqqZYN+9u32Q==" saltValue="cmWfyN5/2iu2CvBqNbG8bA==" spinCount="100000" sheet="1" objects="1" scenarios="1"/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7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73" t="s">
        <v>1024</v>
      </c>
      <c r="B1" s="1274"/>
      <c r="C1" s="1274"/>
      <c r="D1" s="1274"/>
    </row>
    <row r="2" spans="1:11">
      <c r="A2" s="108" t="s">
        <v>10</v>
      </c>
      <c r="B2" s="1045">
        <v>2</v>
      </c>
      <c r="C2" s="1189" t="s">
        <v>30</v>
      </c>
      <c r="D2" s="1189"/>
      <c r="E2" s="1189"/>
      <c r="F2" s="1132"/>
      <c r="G2" s="308"/>
      <c r="H2" s="308"/>
      <c r="I2" s="308"/>
      <c r="J2" s="308"/>
      <c r="K2" s="308"/>
    </row>
    <row r="3" spans="1:11" ht="12" thickBot="1">
      <c r="A3" s="116" t="s">
        <v>1</v>
      </c>
      <c r="B3" s="1046">
        <v>1</v>
      </c>
      <c r="C3" s="1191" t="s">
        <v>30</v>
      </c>
      <c r="D3" s="1191"/>
      <c r="E3" s="1191"/>
      <c r="F3" s="1192"/>
      <c r="G3" s="308"/>
      <c r="H3" s="308"/>
      <c r="I3" s="308"/>
      <c r="J3" s="308"/>
      <c r="K3" s="308"/>
    </row>
    <row r="4" spans="1:11" ht="12" thickBot="1">
      <c r="A4" s="1057" t="s">
        <v>122</v>
      </c>
      <c r="B4" s="1048">
        <v>1</v>
      </c>
      <c r="C4" s="1191" t="s">
        <v>30</v>
      </c>
      <c r="D4" s="1191"/>
      <c r="E4" s="1191"/>
      <c r="F4" s="1192"/>
    </row>
    <row r="5" spans="1:11">
      <c r="A5" s="1058" t="s">
        <v>396</v>
      </c>
      <c r="B5" s="1005">
        <v>0</v>
      </c>
      <c r="C5" s="424" t="s">
        <v>286</v>
      </c>
      <c r="D5" s="424" t="s">
        <v>254</v>
      </c>
      <c r="E5" s="1269" t="s">
        <v>1027</v>
      </c>
      <c r="F5" s="1270"/>
    </row>
    <row r="6" spans="1:11" ht="12" thickBot="1">
      <c r="A6" s="1059" t="s">
        <v>397</v>
      </c>
      <c r="B6" s="1060">
        <v>1</v>
      </c>
      <c r="C6" s="424" t="s">
        <v>286</v>
      </c>
      <c r="D6" s="424" t="s">
        <v>254</v>
      </c>
      <c r="E6" s="1269"/>
      <c r="F6" s="1270"/>
    </row>
    <row r="7" spans="1:11">
      <c r="A7" s="108" t="s">
        <v>587</v>
      </c>
      <c r="B7" s="1045">
        <v>1</v>
      </c>
      <c r="C7" s="1083" t="s">
        <v>1025</v>
      </c>
      <c r="D7" s="1082" t="s">
        <v>1026</v>
      </c>
      <c r="E7" s="1082" t="s">
        <v>1028</v>
      </c>
      <c r="F7" s="1084" t="s">
        <v>1029</v>
      </c>
    </row>
    <row r="8" spans="1:11" ht="12" thickBot="1">
      <c r="A8" s="110" t="s">
        <v>1005</v>
      </c>
      <c r="B8" s="1047">
        <v>1</v>
      </c>
      <c r="C8" s="1271" t="s">
        <v>30</v>
      </c>
      <c r="D8" s="1271"/>
      <c r="E8" s="1271"/>
      <c r="F8" s="1272"/>
    </row>
    <row r="9" spans="1:11" ht="12" thickBot="1">
      <c r="A9" s="1268"/>
      <c r="B9" s="1268"/>
      <c r="C9" s="1268"/>
      <c r="D9" s="1268"/>
    </row>
    <row r="10" spans="1:11" ht="13.5" thickBot="1">
      <c r="A10" s="1061" t="s">
        <v>5</v>
      </c>
      <c r="B10" s="1062" t="s">
        <v>0</v>
      </c>
      <c r="C10" s="1063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4" t="s">
        <v>398</v>
      </c>
      <c r="B11" s="1065">
        <f>B5*B4*2</f>
        <v>0</v>
      </c>
      <c r="C11" s="1066"/>
      <c r="D11" s="1067">
        <f t="shared" ref="D11:D31" si="0">C11*B11</f>
        <v>0</v>
      </c>
    </row>
    <row r="12" spans="1:11">
      <c r="A12" s="449" t="s">
        <v>399</v>
      </c>
      <c r="B12" s="1068">
        <f>2*B6*B4</f>
        <v>2</v>
      </c>
      <c r="C12" s="1069"/>
      <c r="D12" s="1070">
        <f t="shared" si="0"/>
        <v>0</v>
      </c>
    </row>
    <row r="13" spans="1:11">
      <c r="A13" s="50" t="s">
        <v>900</v>
      </c>
      <c r="B13" s="1074">
        <f>B4</f>
        <v>1</v>
      </c>
      <c r="C13" s="835"/>
      <c r="D13" s="1070">
        <f t="shared" si="0"/>
        <v>0</v>
      </c>
    </row>
    <row r="14" spans="1:11">
      <c r="A14" s="7" t="s">
        <v>892</v>
      </c>
      <c r="B14" s="1068">
        <f>B4</f>
        <v>1</v>
      </c>
      <c r="C14" s="1072"/>
      <c r="D14" s="1070">
        <f t="shared" si="0"/>
        <v>0</v>
      </c>
    </row>
    <row r="15" spans="1:11">
      <c r="A15" s="50" t="s">
        <v>138</v>
      </c>
      <c r="B15" s="1074">
        <f>B4</f>
        <v>1</v>
      </c>
      <c r="C15" s="835"/>
      <c r="D15" s="1070">
        <f t="shared" si="0"/>
        <v>0</v>
      </c>
    </row>
    <row r="16" spans="1:11">
      <c r="A16" s="50" t="s">
        <v>820</v>
      </c>
      <c r="B16" s="1074">
        <f>B4</f>
        <v>1</v>
      </c>
      <c r="C16" s="835"/>
      <c r="D16" s="1070">
        <f t="shared" si="0"/>
        <v>0</v>
      </c>
      <c r="E16" s="1049"/>
      <c r="F16" s="111"/>
    </row>
    <row r="17" spans="1:6">
      <c r="A17" s="7" t="s">
        <v>118</v>
      </c>
      <c r="B17" s="1068">
        <f>B2*B4</f>
        <v>2</v>
      </c>
      <c r="C17" s="1072"/>
      <c r="D17" s="1070">
        <f t="shared" si="0"/>
        <v>0</v>
      </c>
    </row>
    <row r="18" spans="1:6">
      <c r="A18" s="6" t="s">
        <v>117</v>
      </c>
      <c r="B18" s="1071">
        <f>B2*B4</f>
        <v>2</v>
      </c>
      <c r="C18" s="1072"/>
      <c r="D18" s="1070">
        <f t="shared" si="0"/>
        <v>0</v>
      </c>
    </row>
    <row r="19" spans="1:6">
      <c r="A19" s="7" t="s">
        <v>891</v>
      </c>
      <c r="B19" s="1068">
        <f>B2*B4</f>
        <v>2</v>
      </c>
      <c r="C19" s="1072"/>
      <c r="D19" s="1070">
        <f t="shared" si="0"/>
        <v>0</v>
      </c>
    </row>
    <row r="20" spans="1:6">
      <c r="A20" s="7" t="s">
        <v>890</v>
      </c>
      <c r="B20" s="1068">
        <f>4*B4</f>
        <v>4</v>
      </c>
      <c r="C20" s="1072"/>
      <c r="D20" s="1070">
        <f t="shared" si="0"/>
        <v>0</v>
      </c>
    </row>
    <row r="21" spans="1:6">
      <c r="A21" s="7" t="s">
        <v>818</v>
      </c>
      <c r="B21" s="1068">
        <f>B2*B4</f>
        <v>2</v>
      </c>
      <c r="C21" s="1073"/>
      <c r="D21" s="1070">
        <f t="shared" si="0"/>
        <v>0</v>
      </c>
    </row>
    <row r="22" spans="1:6">
      <c r="A22" s="50" t="s">
        <v>144</v>
      </c>
      <c r="B22" s="1074">
        <f>B8</f>
        <v>1</v>
      </c>
      <c r="C22" s="835"/>
      <c r="D22" s="1070">
        <f t="shared" si="0"/>
        <v>0</v>
      </c>
    </row>
    <row r="23" spans="1:6">
      <c r="A23" s="50" t="s">
        <v>801</v>
      </c>
      <c r="B23" s="1074">
        <f>B4*(B30+B31)</f>
        <v>0</v>
      </c>
      <c r="C23" s="835"/>
      <c r="D23" s="1070">
        <f t="shared" si="0"/>
        <v>0</v>
      </c>
    </row>
    <row r="24" spans="1:6">
      <c r="A24" s="50" t="s">
        <v>1093</v>
      </c>
      <c r="B24" s="1074">
        <f>B4*(B30+B31)</f>
        <v>0</v>
      </c>
      <c r="C24" s="835"/>
      <c r="D24" s="1070">
        <f>B24*C24</f>
        <v>0</v>
      </c>
    </row>
    <row r="25" spans="1:6">
      <c r="A25" s="1076" t="s">
        <v>806</v>
      </c>
      <c r="B25" s="1077">
        <f>(IF(B2&lt;=1,2,IF(B2&lt;=1.5,3,IF(B2&lt;=2,4,IF(B2&lt;=2.5,5,6)))))*B4</f>
        <v>4</v>
      </c>
      <c r="C25" s="1078"/>
      <c r="D25" s="1079">
        <f t="shared" si="0"/>
        <v>0</v>
      </c>
    </row>
    <row r="26" spans="1:6">
      <c r="A26" s="451" t="s">
        <v>400</v>
      </c>
      <c r="B26" s="969">
        <f>B2*B4</f>
        <v>2</v>
      </c>
      <c r="C26" s="551"/>
      <c r="D26" s="996">
        <f t="shared" si="0"/>
        <v>0</v>
      </c>
    </row>
    <row r="27" spans="1:6">
      <c r="A27" s="451" t="s">
        <v>401</v>
      </c>
      <c r="B27" s="969">
        <f>B6*B4*B2</f>
        <v>2</v>
      </c>
      <c r="C27" s="551"/>
      <c r="D27" s="996">
        <f t="shared" si="0"/>
        <v>0</v>
      </c>
    </row>
    <row r="28" spans="1:6">
      <c r="A28" s="1080" t="s">
        <v>898</v>
      </c>
      <c r="B28" s="1085">
        <f>IF(B7=0,B4,0)</f>
        <v>0</v>
      </c>
      <c r="C28" s="1081"/>
      <c r="D28" s="1079">
        <f t="shared" si="0"/>
        <v>0</v>
      </c>
      <c r="E28" s="69"/>
      <c r="F28" s="69"/>
    </row>
    <row r="29" spans="1:6">
      <c r="A29" s="50" t="s">
        <v>899</v>
      </c>
      <c r="B29" s="1074">
        <f>IF(B7=1,B4,0)</f>
        <v>1</v>
      </c>
      <c r="C29" s="835"/>
      <c r="D29" s="1070">
        <f t="shared" si="0"/>
        <v>0</v>
      </c>
      <c r="E29" s="69"/>
      <c r="F29" s="69"/>
    </row>
    <row r="30" spans="1:6">
      <c r="A30" s="50" t="s">
        <v>901</v>
      </c>
      <c r="B30" s="1074">
        <f>IF(B7=2,B4,0)</f>
        <v>0</v>
      </c>
      <c r="C30" s="835"/>
      <c r="D30" s="1070">
        <f t="shared" si="0"/>
        <v>0</v>
      </c>
      <c r="E30" s="69"/>
      <c r="F30" s="69"/>
    </row>
    <row r="31" spans="1:6">
      <c r="A31" s="50" t="s">
        <v>902</v>
      </c>
      <c r="B31" s="1074">
        <f>IF(B7=3,B4,0)</f>
        <v>0</v>
      </c>
      <c r="C31" s="835"/>
      <c r="D31" s="1070">
        <f t="shared" si="0"/>
        <v>0</v>
      </c>
      <c r="E31" s="69"/>
      <c r="F31" s="69"/>
    </row>
    <row r="32" spans="1:6" ht="12" thickBot="1">
      <c r="A32" s="803" t="s">
        <v>1030</v>
      </c>
      <c r="B32" s="1086">
        <f>B4*2</f>
        <v>2</v>
      </c>
      <c r="C32" s="51"/>
      <c r="D32" s="1087"/>
    </row>
    <row r="33" spans="3:4" ht="12" thickBot="1">
      <c r="C33" t="s">
        <v>115</v>
      </c>
      <c r="D33" s="1075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5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7"/>
  <sheetViews>
    <sheetView topLeftCell="A19" zoomScale="123" zoomScaleNormal="130" zoomScaleSheetLayoutView="100" workbookViewId="0">
      <selection activeCell="F51" sqref="F5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73" t="s">
        <v>802</v>
      </c>
      <c r="B1" s="1274"/>
      <c r="C1" s="1274"/>
      <c r="D1" s="1274"/>
    </row>
    <row r="2" spans="1:11" ht="11.25" customHeight="1">
      <c r="A2" s="108" t="s">
        <v>10</v>
      </c>
      <c r="B2" s="775">
        <v>0</v>
      </c>
      <c r="C2" s="1189" t="s">
        <v>30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6" t="s">
        <v>1</v>
      </c>
      <c r="B3" s="782">
        <v>1</v>
      </c>
      <c r="C3" s="1276" t="s">
        <v>30</v>
      </c>
      <c r="D3" s="1277"/>
      <c r="F3" s="1154"/>
      <c r="G3" s="1155"/>
      <c r="H3" s="1155"/>
      <c r="I3" s="1155"/>
      <c r="J3" s="1155"/>
      <c r="K3" s="1156"/>
    </row>
    <row r="4" spans="1:11" ht="11.25" customHeight="1">
      <c r="A4" s="115" t="s">
        <v>149</v>
      </c>
      <c r="B4" s="775">
        <v>0</v>
      </c>
      <c r="C4" s="1278" t="s">
        <v>803</v>
      </c>
      <c r="D4" s="1140"/>
    </row>
    <row r="5" spans="1:11">
      <c r="A5" s="114" t="s">
        <v>150</v>
      </c>
      <c r="B5" s="776">
        <v>0</v>
      </c>
      <c r="C5" s="1279"/>
      <c r="D5" s="1280"/>
    </row>
    <row r="6" spans="1:11">
      <c r="A6" s="819" t="s">
        <v>155</v>
      </c>
      <c r="B6" s="776">
        <v>0</v>
      </c>
      <c r="C6" s="1260" t="s">
        <v>30</v>
      </c>
      <c r="D6" s="1261"/>
    </row>
    <row r="7" spans="1:11" ht="11.25" customHeight="1" thickBot="1">
      <c r="A7" s="820" t="s">
        <v>804</v>
      </c>
      <c r="B7" s="144">
        <v>0</v>
      </c>
      <c r="C7" s="1260" t="s">
        <v>30</v>
      </c>
      <c r="D7" s="1261"/>
    </row>
    <row r="8" spans="1:11" ht="11.25" customHeight="1">
      <c r="A8" s="821" t="s">
        <v>151</v>
      </c>
      <c r="B8" s="141">
        <v>0</v>
      </c>
      <c r="C8" s="1281" t="s">
        <v>148</v>
      </c>
      <c r="D8" s="1282"/>
    </row>
    <row r="9" spans="1:11">
      <c r="A9" s="114" t="s">
        <v>152</v>
      </c>
      <c r="B9" s="782">
        <v>0</v>
      </c>
      <c r="C9" s="1283"/>
      <c r="D9" s="1284"/>
    </row>
    <row r="10" spans="1:11">
      <c r="A10" s="114" t="s">
        <v>154</v>
      </c>
      <c r="B10" s="782">
        <v>0</v>
      </c>
      <c r="C10" s="1260" t="s">
        <v>30</v>
      </c>
      <c r="D10" s="1261"/>
    </row>
    <row r="11" spans="1:11" ht="11.25" customHeight="1">
      <c r="A11" s="822" t="s">
        <v>153</v>
      </c>
      <c r="B11" s="782">
        <v>0</v>
      </c>
      <c r="C11" s="1285" t="s">
        <v>30</v>
      </c>
      <c r="D11" s="1286"/>
    </row>
    <row r="12" spans="1:11" ht="12" thickBot="1">
      <c r="A12" s="820" t="s">
        <v>805</v>
      </c>
      <c r="B12" s="144">
        <v>0</v>
      </c>
      <c r="C12" s="1285" t="s">
        <v>30</v>
      </c>
      <c r="D12" s="1286"/>
    </row>
    <row r="13" spans="1:11" ht="12" thickBot="1">
      <c r="A13" s="823" t="s">
        <v>146</v>
      </c>
      <c r="B13" s="145">
        <v>0</v>
      </c>
      <c r="C13" s="1262" t="s">
        <v>30</v>
      </c>
      <c r="D13" s="1263"/>
    </row>
    <row r="14" spans="1:11" ht="12" thickBot="1">
      <c r="A14" s="154" t="s">
        <v>145</v>
      </c>
      <c r="B14" s="151">
        <v>0</v>
      </c>
      <c r="C14" s="1262" t="s">
        <v>30</v>
      </c>
      <c r="D14" s="1263"/>
    </row>
    <row r="15" spans="1:11" ht="12" thickBot="1">
      <c r="A15" s="154" t="s">
        <v>142</v>
      </c>
      <c r="B15" s="145">
        <v>0</v>
      </c>
      <c r="C15" s="1262" t="s">
        <v>30</v>
      </c>
      <c r="D15" s="1263"/>
    </row>
    <row r="16" spans="1:11" ht="12" thickBot="1">
      <c r="A16" s="1275"/>
      <c r="B16" s="1275"/>
      <c r="C16" s="1275"/>
      <c r="D16" s="1275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793</v>
      </c>
      <c r="B18" s="112">
        <f>2*(B4+B5+B8+B9)</f>
        <v>0</v>
      </c>
      <c r="C18" s="847">
        <v>9</v>
      </c>
      <c r="D18" s="779">
        <f t="shared" ref="D18:D50" si="0">C18*B18</f>
        <v>0</v>
      </c>
    </row>
    <row r="19" spans="1:11">
      <c r="A19" s="6" t="s">
        <v>806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807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808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809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810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811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119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120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118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228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117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812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813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814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815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816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817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795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818</v>
      </c>
      <c r="B38" s="113">
        <f>B2*(B4+B5)</f>
        <v>0</v>
      </c>
      <c r="C38" s="900"/>
      <c r="D38" s="779">
        <f t="shared" si="0"/>
        <v>0</v>
      </c>
    </row>
    <row r="39" spans="1:4">
      <c r="A39" s="6" t="s">
        <v>796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138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139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1094</v>
      </c>
      <c r="B42" s="113">
        <f>B41</f>
        <v>0</v>
      </c>
      <c r="C42" s="848"/>
      <c r="D42" s="1095">
        <f t="shared" si="0"/>
        <v>0</v>
      </c>
    </row>
    <row r="43" spans="1:4">
      <c r="A43" s="7" t="s">
        <v>819</v>
      </c>
      <c r="B43" s="113">
        <f>B40</f>
        <v>0</v>
      </c>
      <c r="C43" s="848"/>
      <c r="D43" s="779">
        <f t="shared" si="0"/>
        <v>0</v>
      </c>
    </row>
    <row r="44" spans="1:4">
      <c r="A44" s="7" t="s">
        <v>820</v>
      </c>
      <c r="B44" s="113">
        <f>B7</f>
        <v>0</v>
      </c>
      <c r="C44" s="848"/>
      <c r="D44" s="779">
        <f t="shared" si="0"/>
        <v>0</v>
      </c>
    </row>
    <row r="45" spans="1:4">
      <c r="A45" s="7" t="s">
        <v>798</v>
      </c>
      <c r="B45" s="113">
        <f>B12</f>
        <v>0</v>
      </c>
      <c r="C45" s="848"/>
      <c r="D45" s="779">
        <f t="shared" si="0"/>
        <v>0</v>
      </c>
    </row>
    <row r="46" spans="1:4" hidden="1">
      <c r="A46" s="7" t="s">
        <v>799</v>
      </c>
      <c r="B46" s="113">
        <f>B41</f>
        <v>0</v>
      </c>
      <c r="C46" s="848"/>
      <c r="D46" s="779">
        <f t="shared" si="0"/>
        <v>0</v>
      </c>
    </row>
    <row r="47" spans="1:4">
      <c r="A47" s="152" t="s">
        <v>144</v>
      </c>
      <c r="B47" s="113">
        <f>B14</f>
        <v>0</v>
      </c>
      <c r="C47" s="848"/>
      <c r="D47" s="779">
        <f t="shared" si="0"/>
        <v>0</v>
      </c>
    </row>
    <row r="48" spans="1:4">
      <c r="A48" s="152" t="s">
        <v>147</v>
      </c>
      <c r="B48" s="113">
        <f>B13</f>
        <v>0</v>
      </c>
      <c r="C48" s="848"/>
      <c r="D48" s="779">
        <f t="shared" si="0"/>
        <v>0</v>
      </c>
    </row>
    <row r="49" spans="1:4">
      <c r="A49" s="152" t="s">
        <v>800</v>
      </c>
      <c r="B49" s="153">
        <f>B15</f>
        <v>0</v>
      </c>
      <c r="C49" s="901"/>
      <c r="D49" s="779">
        <f t="shared" si="0"/>
        <v>0</v>
      </c>
    </row>
    <row r="50" spans="1:4" ht="12" thickBot="1">
      <c r="A50" s="30" t="s">
        <v>801</v>
      </c>
      <c r="B50" s="118">
        <f>B15</f>
        <v>0</v>
      </c>
      <c r="C50" s="902"/>
      <c r="D50" s="779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9ZC8OHoCFUDzF81vL6cS0SF83nXtEry0OYp5/6mDghpx8cWmCJ1GYci+Pe4XxoKuXjkkYkfZr8go/C73AvwhSA==" saltValue="kvXpRHLE8eH38w3tqbAh3Q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88" t="s">
        <v>821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89" t="s">
        <v>30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 ht="11.25" customHeight="1">
      <c r="A4" s="120" t="s">
        <v>822</v>
      </c>
      <c r="B4" s="893">
        <v>0</v>
      </c>
      <c r="C4" s="1287" t="s">
        <v>30</v>
      </c>
      <c r="D4" s="1134"/>
    </row>
    <row r="5" spans="1:11" ht="12" thickBot="1">
      <c r="A5" s="143" t="s">
        <v>792</v>
      </c>
      <c r="B5" s="903">
        <v>0</v>
      </c>
      <c r="C5" s="1276" t="s">
        <v>30</v>
      </c>
      <c r="D5" s="1277"/>
    </row>
    <row r="6" spans="1:11" ht="12" thickBot="1">
      <c r="A6" s="818" t="s">
        <v>146</v>
      </c>
      <c r="B6" s="895">
        <v>0</v>
      </c>
      <c r="C6" s="1262" t="s">
        <v>30</v>
      </c>
      <c r="D6" s="1263"/>
    </row>
    <row r="7" spans="1:11" ht="12" thickBot="1">
      <c r="A7" s="146" t="s">
        <v>145</v>
      </c>
      <c r="B7" s="896">
        <v>0</v>
      </c>
      <c r="C7" s="1262" t="s">
        <v>30</v>
      </c>
      <c r="D7" s="1263"/>
    </row>
    <row r="8" spans="1:11" ht="11.25" customHeight="1" thickBot="1">
      <c r="A8" s="146" t="s">
        <v>142</v>
      </c>
      <c r="B8" s="895">
        <v>0</v>
      </c>
      <c r="C8" s="1262" t="s">
        <v>30</v>
      </c>
      <c r="D8" s="1263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7">
        <v>9</v>
      </c>
      <c r="D11" s="790">
        <f t="shared" ref="D11:D25" si="0">C11*B11</f>
        <v>0</v>
      </c>
    </row>
    <row r="12" spans="1:11">
      <c r="A12" s="7" t="s">
        <v>823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824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117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795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796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139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1094</v>
      </c>
      <c r="B19" s="113">
        <f>B18</f>
        <v>0</v>
      </c>
      <c r="C19" s="848"/>
      <c r="D19" s="1095">
        <f t="shared" si="0"/>
        <v>0</v>
      </c>
    </row>
    <row r="20" spans="1:4">
      <c r="A20" s="7" t="s">
        <v>1095</v>
      </c>
      <c r="B20" s="113">
        <f>B5</f>
        <v>0</v>
      </c>
      <c r="C20" s="848"/>
      <c r="D20" s="790">
        <f t="shared" si="0"/>
        <v>0</v>
      </c>
    </row>
    <row r="21" spans="1:4" hidden="1">
      <c r="A21" s="7" t="s">
        <v>799</v>
      </c>
      <c r="B21" s="113">
        <f>B4</f>
        <v>0</v>
      </c>
      <c r="C21" s="848"/>
      <c r="D21" s="790">
        <f t="shared" si="0"/>
        <v>0</v>
      </c>
    </row>
    <row r="22" spans="1:4">
      <c r="A22" s="152" t="s">
        <v>144</v>
      </c>
      <c r="B22" s="113">
        <f>B7</f>
        <v>0</v>
      </c>
      <c r="C22" s="848"/>
      <c r="D22" s="790">
        <f t="shared" si="0"/>
        <v>0</v>
      </c>
    </row>
    <row r="23" spans="1:4">
      <c r="A23" s="152" t="s">
        <v>147</v>
      </c>
      <c r="B23" s="113">
        <f>B6</f>
        <v>0</v>
      </c>
      <c r="C23" s="848"/>
      <c r="D23" s="790">
        <f t="shared" si="0"/>
        <v>0</v>
      </c>
    </row>
    <row r="24" spans="1:4">
      <c r="A24" s="152" t="s">
        <v>800</v>
      </c>
      <c r="B24" s="113">
        <f>B8</f>
        <v>0</v>
      </c>
      <c r="C24" s="848"/>
      <c r="D24" s="790">
        <f t="shared" si="0"/>
        <v>0</v>
      </c>
    </row>
    <row r="25" spans="1:4" ht="12" thickBot="1">
      <c r="A25" s="30" t="s">
        <v>801</v>
      </c>
      <c r="B25" s="118">
        <f>B8</f>
        <v>0</v>
      </c>
      <c r="C25" s="902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88" t="s">
        <v>825</v>
      </c>
      <c r="B1" s="1274"/>
      <c r="C1" s="1274"/>
      <c r="D1" s="1274"/>
    </row>
    <row r="2" spans="1:11" ht="11.25" customHeight="1">
      <c r="A2" s="108" t="s">
        <v>10</v>
      </c>
      <c r="B2" s="827">
        <v>2</v>
      </c>
      <c r="C2" s="1189" t="s">
        <v>124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122</v>
      </c>
      <c r="B4" s="893">
        <v>0</v>
      </c>
      <c r="C4" s="1256" t="s">
        <v>30</v>
      </c>
      <c r="D4" s="1257"/>
    </row>
    <row r="5" spans="1:11" ht="12" thickBot="1">
      <c r="A5" s="143" t="s">
        <v>792</v>
      </c>
      <c r="B5" s="903">
        <v>0</v>
      </c>
      <c r="C5" s="1285" t="s">
        <v>30</v>
      </c>
      <c r="D5" s="1286"/>
    </row>
    <row r="6" spans="1:11" ht="12" thickBot="1">
      <c r="A6" s="818" t="s">
        <v>146</v>
      </c>
      <c r="B6" s="895">
        <v>0</v>
      </c>
      <c r="C6" s="1262" t="s">
        <v>30</v>
      </c>
      <c r="D6" s="1263"/>
    </row>
    <row r="7" spans="1:11" s="5" customFormat="1" ht="18" customHeight="1" thickBot="1">
      <c r="A7" s="146" t="s">
        <v>145</v>
      </c>
      <c r="B7" s="896">
        <v>0</v>
      </c>
      <c r="C7" s="1262" t="s">
        <v>30</v>
      </c>
      <c r="D7" s="1263"/>
      <c r="E7"/>
      <c r="F7"/>
      <c r="G7"/>
      <c r="H7"/>
      <c r="I7"/>
      <c r="J7"/>
      <c r="K7"/>
    </row>
    <row r="8" spans="1:11" ht="12" thickBot="1">
      <c r="A8" s="146" t="s">
        <v>142</v>
      </c>
      <c r="B8" s="896">
        <v>0</v>
      </c>
      <c r="C8" s="1262" t="s">
        <v>30</v>
      </c>
      <c r="D8" s="1263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125</v>
      </c>
      <c r="B12" s="112">
        <f>B4</f>
        <v>0</v>
      </c>
      <c r="C12" s="847"/>
      <c r="D12" s="790">
        <f>C12*B12</f>
        <v>0</v>
      </c>
    </row>
    <row r="13" spans="1:11">
      <c r="A13" s="6" t="s">
        <v>794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7"/>
      <c r="D14" s="790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795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796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139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1094</v>
      </c>
      <c r="B19" s="153">
        <f>B18</f>
        <v>0</v>
      </c>
      <c r="C19" s="901"/>
      <c r="D19" s="1095">
        <f t="shared" si="1"/>
        <v>0</v>
      </c>
    </row>
    <row r="20" spans="1:4">
      <c r="A20" s="152" t="s">
        <v>797</v>
      </c>
      <c r="B20" s="153">
        <f>B4</f>
        <v>0</v>
      </c>
      <c r="C20" s="901"/>
      <c r="D20" s="790">
        <f t="shared" si="1"/>
        <v>0</v>
      </c>
    </row>
    <row r="21" spans="1:4">
      <c r="A21" s="7" t="s">
        <v>798</v>
      </c>
      <c r="B21" s="113">
        <f>B5</f>
        <v>0</v>
      </c>
      <c r="C21" s="901"/>
      <c r="D21" s="790">
        <f t="shared" si="1"/>
        <v>0</v>
      </c>
    </row>
    <row r="22" spans="1:4" hidden="1">
      <c r="A22" s="7" t="s">
        <v>799</v>
      </c>
      <c r="B22" s="113">
        <f>B4*2</f>
        <v>0</v>
      </c>
      <c r="C22" s="901"/>
      <c r="D22" s="790">
        <f t="shared" si="1"/>
        <v>0</v>
      </c>
    </row>
    <row r="23" spans="1:4">
      <c r="A23" s="152" t="s">
        <v>144</v>
      </c>
      <c r="B23" s="113">
        <f>B7</f>
        <v>0</v>
      </c>
      <c r="C23" s="901"/>
      <c r="D23" s="790">
        <f t="shared" si="1"/>
        <v>0</v>
      </c>
    </row>
    <row r="24" spans="1:4">
      <c r="A24" s="152" t="s">
        <v>147</v>
      </c>
      <c r="B24" s="113">
        <f>B6</f>
        <v>0</v>
      </c>
      <c r="C24" s="901"/>
      <c r="D24" s="790">
        <f t="shared" si="1"/>
        <v>0</v>
      </c>
    </row>
    <row r="25" spans="1:4">
      <c r="A25" s="152" t="s">
        <v>800</v>
      </c>
      <c r="B25" s="113">
        <f>B8</f>
        <v>0</v>
      </c>
      <c r="C25" s="901"/>
      <c r="D25" s="790">
        <f t="shared" si="1"/>
        <v>0</v>
      </c>
    </row>
    <row r="26" spans="1:4" ht="12" thickBot="1">
      <c r="A26" s="30" t="s">
        <v>801</v>
      </c>
      <c r="B26" s="118">
        <f>B8</f>
        <v>0</v>
      </c>
      <c r="C26" s="902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88" t="s">
        <v>791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89" t="s">
        <v>124</v>
      </c>
      <c r="D2" s="113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126</v>
      </c>
      <c r="B4" s="893">
        <v>2</v>
      </c>
      <c r="C4" s="1287" t="s">
        <v>127</v>
      </c>
      <c r="D4" s="1134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9">
        <v>0</v>
      </c>
      <c r="C5" s="1191" t="s">
        <v>30</v>
      </c>
      <c r="D5" s="1192"/>
    </row>
    <row r="6" spans="1:11" ht="12" thickBot="1">
      <c r="A6" s="143" t="s">
        <v>792</v>
      </c>
      <c r="B6" s="894">
        <v>0</v>
      </c>
      <c r="C6" s="1276" t="s">
        <v>30</v>
      </c>
      <c r="D6" s="1277"/>
    </row>
    <row r="7" spans="1:11" ht="12" thickBot="1">
      <c r="A7" s="818" t="s">
        <v>146</v>
      </c>
      <c r="B7" s="895">
        <v>0</v>
      </c>
      <c r="C7" s="1289" t="s">
        <v>30</v>
      </c>
      <c r="D7" s="1290"/>
    </row>
    <row r="8" spans="1:11" s="5" customFormat="1" ht="18" customHeight="1" thickBot="1">
      <c r="A8" s="818" t="s">
        <v>145</v>
      </c>
      <c r="B8" s="895">
        <v>0</v>
      </c>
      <c r="C8" s="1289" t="s">
        <v>30</v>
      </c>
      <c r="D8" s="1290"/>
      <c r="E8"/>
      <c r="F8"/>
      <c r="G8"/>
      <c r="H8"/>
      <c r="I8"/>
      <c r="J8"/>
      <c r="K8"/>
    </row>
    <row r="9" spans="1:11" ht="12" thickBot="1">
      <c r="A9" s="146" t="s">
        <v>142</v>
      </c>
      <c r="B9" s="896">
        <v>0</v>
      </c>
      <c r="C9" s="1291" t="s">
        <v>30</v>
      </c>
      <c r="D9" s="1292"/>
    </row>
    <row r="10" spans="1:11" ht="12" thickBot="1">
      <c r="A10" s="1268"/>
      <c r="B10" s="1268"/>
      <c r="C10" s="1268"/>
      <c r="D10" s="1268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793</v>
      </c>
      <c r="B12" s="112">
        <f>2*B5*B4</f>
        <v>0</v>
      </c>
      <c r="C12" s="847">
        <v>9</v>
      </c>
      <c r="D12" s="790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794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117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795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796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139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1094</v>
      </c>
      <c r="B20" s="153">
        <f>B19</f>
        <v>0</v>
      </c>
      <c r="C20" s="901"/>
      <c r="D20" s="1095">
        <f t="shared" si="0"/>
        <v>0</v>
      </c>
    </row>
    <row r="21" spans="1:4">
      <c r="A21" s="152" t="s">
        <v>797</v>
      </c>
      <c r="B21" s="153">
        <f>B13</f>
        <v>0</v>
      </c>
      <c r="C21" s="901"/>
      <c r="D21" s="790">
        <f t="shared" si="0"/>
        <v>0</v>
      </c>
    </row>
    <row r="22" spans="1:4">
      <c r="A22" s="7" t="s">
        <v>798</v>
      </c>
      <c r="B22" s="113">
        <f>B6</f>
        <v>0</v>
      </c>
      <c r="C22" s="901"/>
      <c r="D22" s="790">
        <f t="shared" si="0"/>
        <v>0</v>
      </c>
    </row>
    <row r="23" spans="1:4">
      <c r="A23" s="7" t="s">
        <v>799</v>
      </c>
      <c r="B23" s="113">
        <f>B5</f>
        <v>0</v>
      </c>
      <c r="C23" s="901"/>
      <c r="D23" s="790">
        <f t="shared" si="0"/>
        <v>0</v>
      </c>
    </row>
    <row r="24" spans="1:4">
      <c r="A24" s="152" t="s">
        <v>144</v>
      </c>
      <c r="B24" s="113">
        <f>B8</f>
        <v>0</v>
      </c>
      <c r="C24" s="901"/>
      <c r="D24" s="790">
        <f t="shared" si="0"/>
        <v>0</v>
      </c>
    </row>
    <row r="25" spans="1:4">
      <c r="A25" s="152" t="s">
        <v>147</v>
      </c>
      <c r="B25" s="113">
        <f>B7</f>
        <v>0</v>
      </c>
      <c r="C25" s="901"/>
      <c r="D25" s="790">
        <f t="shared" si="0"/>
        <v>0</v>
      </c>
    </row>
    <row r="26" spans="1:4">
      <c r="A26" s="152" t="s">
        <v>800</v>
      </c>
      <c r="B26" s="113">
        <f>B9</f>
        <v>0</v>
      </c>
      <c r="C26" s="901"/>
      <c r="D26" s="790">
        <f t="shared" si="0"/>
        <v>0</v>
      </c>
    </row>
    <row r="27" spans="1:4" ht="12" thickBot="1">
      <c r="A27" s="30" t="s">
        <v>801</v>
      </c>
      <c r="B27" s="118">
        <f>B9</f>
        <v>0</v>
      </c>
      <c r="C27" s="902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88" t="s">
        <v>832</v>
      </c>
      <c r="B1" s="1274"/>
      <c r="C1" s="1274"/>
      <c r="D1" s="1274"/>
    </row>
    <row r="2" spans="1:11">
      <c r="A2" s="108" t="s">
        <v>10</v>
      </c>
      <c r="B2" s="827">
        <v>0</v>
      </c>
      <c r="D2" s="1151" t="s">
        <v>121</v>
      </c>
      <c r="E2" s="1152"/>
      <c r="F2" s="1152"/>
      <c r="G2" s="1152"/>
      <c r="H2" s="1152"/>
      <c r="I2" s="1153"/>
    </row>
    <row r="3" spans="1:11" ht="12" thickBot="1">
      <c r="A3" s="110" t="s">
        <v>1</v>
      </c>
      <c r="B3" s="828">
        <v>0</v>
      </c>
      <c r="D3" s="1154"/>
      <c r="E3" s="1155"/>
      <c r="F3" s="1155"/>
      <c r="G3" s="1155"/>
      <c r="H3" s="1155"/>
      <c r="I3" s="1156"/>
    </row>
    <row r="4" spans="1:11" ht="12" thickBot="1">
      <c r="A4" s="109" t="s">
        <v>122</v>
      </c>
      <c r="B4" s="829">
        <v>0</v>
      </c>
    </row>
    <row r="5" spans="1:11" ht="12" thickBot="1">
      <c r="A5" s="818" t="s">
        <v>146</v>
      </c>
      <c r="B5" s="895">
        <v>0</v>
      </c>
    </row>
    <row r="6" spans="1:11" ht="12" thickBot="1">
      <c r="A6" s="818" t="s">
        <v>145</v>
      </c>
      <c r="B6" s="895">
        <v>0</v>
      </c>
    </row>
    <row r="7" spans="1:11" ht="12" thickBot="1">
      <c r="A7" s="1268"/>
      <c r="B7" s="1268"/>
      <c r="C7" s="1268"/>
      <c r="D7" s="1268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833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523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834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835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836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837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838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839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840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841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144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147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29" t="s">
        <v>176</v>
      </c>
      <c r="B1" s="1130"/>
      <c r="C1" s="1130"/>
      <c r="D1" s="1184"/>
    </row>
    <row r="2" spans="1:11" ht="15" thickBot="1">
      <c r="A2" s="1185" t="s">
        <v>3</v>
      </c>
      <c r="B2" s="1186"/>
      <c r="C2" s="1186"/>
      <c r="D2" s="118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316" t="s">
        <v>30</v>
      </c>
      <c r="D3" s="1316"/>
      <c r="F3" s="1154"/>
      <c r="G3" s="1155"/>
      <c r="H3" s="1155"/>
      <c r="I3" s="1155"/>
      <c r="J3" s="1155"/>
      <c r="K3" s="1156"/>
    </row>
    <row r="4" spans="1:11" ht="12" thickBot="1">
      <c r="A4" s="45" t="s">
        <v>178</v>
      </c>
      <c r="B4" s="879">
        <v>1</v>
      </c>
      <c r="C4" s="1317" t="s">
        <v>30</v>
      </c>
      <c r="D4" s="1317"/>
    </row>
    <row r="5" spans="1:11">
      <c r="A5" s="188" t="s">
        <v>179</v>
      </c>
      <c r="B5" s="904">
        <v>1</v>
      </c>
      <c r="C5" s="1302" t="s">
        <v>30</v>
      </c>
      <c r="D5" s="1302"/>
    </row>
    <row r="6" spans="1:11">
      <c r="A6" s="48" t="s">
        <v>180</v>
      </c>
      <c r="B6" s="891">
        <v>0</v>
      </c>
      <c r="C6" s="1312" t="s">
        <v>30</v>
      </c>
      <c r="D6" s="1312"/>
    </row>
    <row r="7" spans="1:11" ht="12" thickBot="1">
      <c r="A7" s="189" t="s">
        <v>181</v>
      </c>
      <c r="B7" s="884">
        <v>0</v>
      </c>
      <c r="C7" s="1304" t="s">
        <v>30</v>
      </c>
      <c r="D7" s="1304"/>
    </row>
    <row r="8" spans="1:11">
      <c r="A8" s="170" t="s">
        <v>156</v>
      </c>
      <c r="B8" s="892">
        <v>1</v>
      </c>
      <c r="C8" s="1302" t="s">
        <v>30</v>
      </c>
      <c r="D8" s="1302"/>
    </row>
    <row r="9" spans="1:11">
      <c r="A9" s="150" t="s">
        <v>143</v>
      </c>
      <c r="B9" s="883">
        <v>2</v>
      </c>
      <c r="C9" s="1303" t="s">
        <v>30</v>
      </c>
      <c r="D9" s="1303"/>
      <c r="E9" s="190"/>
      <c r="H9" s="69"/>
      <c r="I9" s="69"/>
      <c r="J9" s="69"/>
    </row>
    <row r="10" spans="1:11" ht="12" thickBot="1">
      <c r="A10" s="137" t="s">
        <v>146</v>
      </c>
      <c r="B10" s="884">
        <v>3</v>
      </c>
      <c r="C10" s="1304" t="s">
        <v>30</v>
      </c>
      <c r="D10" s="1304"/>
      <c r="E10" s="191"/>
      <c r="H10" s="69"/>
      <c r="I10" s="69"/>
      <c r="J10" s="69"/>
    </row>
    <row r="11" spans="1:11" ht="12" thickBot="1">
      <c r="A11" s="1313" t="s">
        <v>182</v>
      </c>
      <c r="B11" s="1313"/>
      <c r="C11" s="1313"/>
      <c r="D11" s="1313"/>
    </row>
    <row r="12" spans="1:11">
      <c r="A12" s="178" t="s">
        <v>183</v>
      </c>
      <c r="B12" s="905">
        <v>1</v>
      </c>
      <c r="C12" s="1314" t="s">
        <v>33</v>
      </c>
      <c r="D12" s="1315"/>
    </row>
    <row r="13" spans="1:11">
      <c r="A13" s="179" t="s">
        <v>184</v>
      </c>
      <c r="B13" s="906">
        <v>0</v>
      </c>
      <c r="C13" s="1217" t="s">
        <v>33</v>
      </c>
      <c r="D13" s="1218"/>
    </row>
    <row r="14" spans="1:11">
      <c r="A14" s="179" t="s">
        <v>185</v>
      </c>
      <c r="B14" s="907">
        <v>0</v>
      </c>
      <c r="C14" s="1219" t="s">
        <v>33</v>
      </c>
      <c r="D14" s="1221"/>
    </row>
    <row r="15" spans="1:11" ht="12" thickBot="1">
      <c r="A15" s="1305"/>
      <c r="B15" s="1306"/>
      <c r="C15" s="1306"/>
      <c r="D15" s="1307"/>
    </row>
    <row r="16" spans="1:11">
      <c r="A16" s="180" t="s">
        <v>186</v>
      </c>
      <c r="B16" s="908">
        <f>CEILING((B3-0.1)/0.4,1)+1</f>
        <v>4</v>
      </c>
      <c r="C16" s="1308" t="s">
        <v>29</v>
      </c>
      <c r="D16" s="1309"/>
    </row>
    <row r="17" spans="1:4" ht="12" thickBot="1">
      <c r="A17" s="181" t="s">
        <v>187</v>
      </c>
      <c r="B17" s="909">
        <f>SUM(B5:B7)</f>
        <v>1</v>
      </c>
      <c r="C17" s="1310" t="s">
        <v>29</v>
      </c>
      <c r="D17" s="1311"/>
    </row>
    <row r="18" spans="1:4" ht="12" thickBot="1">
      <c r="A18" s="1249"/>
      <c r="B18" s="1249"/>
      <c r="C18" s="1249"/>
      <c r="D18" s="1249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189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190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191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192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193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194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166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167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195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196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168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197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198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199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200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201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202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203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204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205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206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208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162</v>
      </c>
      <c r="B44" s="72">
        <f>B9</f>
        <v>2</v>
      </c>
      <c r="C44" s="832"/>
      <c r="D44" s="164">
        <f>B44*C44</f>
        <v>0</v>
      </c>
    </row>
    <row r="45" spans="1:4">
      <c r="A45" s="131" t="s">
        <v>171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172</v>
      </c>
      <c r="B46" s="165">
        <f>B10</f>
        <v>3</v>
      </c>
      <c r="C46" s="888"/>
      <c r="D46" s="164">
        <f>B46*C46</f>
        <v>0</v>
      </c>
    </row>
    <row r="47" spans="1:4" ht="12" thickBot="1">
      <c r="A47" s="1296"/>
      <c r="B47" s="1297"/>
      <c r="C47" s="1297"/>
      <c r="D47" s="1298"/>
    </row>
    <row r="48" spans="1:4" ht="12.75">
      <c r="A48" s="1293" t="s">
        <v>182</v>
      </c>
      <c r="B48" s="1294"/>
      <c r="C48" s="1294"/>
      <c r="D48" s="1295"/>
    </row>
    <row r="49" spans="1:4">
      <c r="A49" s="182" t="s">
        <v>209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210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211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212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213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214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215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216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217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218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219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220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96"/>
      <c r="B61" s="1297"/>
      <c r="C61" s="1297"/>
      <c r="D61" s="1298"/>
    </row>
    <row r="62" spans="1:4" ht="12.75">
      <c r="A62" s="1299" t="s">
        <v>221</v>
      </c>
      <c r="B62" s="1300"/>
      <c r="C62" s="1300"/>
      <c r="D62" s="1301"/>
    </row>
    <row r="63" spans="1:4">
      <c r="A63" s="182" t="s">
        <v>222</v>
      </c>
      <c r="B63" s="80">
        <v>1</v>
      </c>
      <c r="C63" s="832"/>
      <c r="D63" s="164">
        <f>B63*C63</f>
        <v>0</v>
      </c>
    </row>
    <row r="64" spans="1:4" ht="12" thickBot="1">
      <c r="A64" s="186" t="s">
        <v>223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29" t="s">
        <v>224</v>
      </c>
      <c r="B1" s="1130"/>
      <c r="C1" s="1130"/>
      <c r="D1" s="1184"/>
    </row>
    <row r="2" spans="1:11" ht="15" thickBot="1">
      <c r="A2" s="1185" t="s">
        <v>3</v>
      </c>
      <c r="B2" s="1186"/>
      <c r="C2" s="1186"/>
      <c r="D2" s="1187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316" t="s">
        <v>30</v>
      </c>
      <c r="D3" s="1316"/>
      <c r="F3" s="1154"/>
      <c r="G3" s="1155"/>
      <c r="H3" s="1155"/>
      <c r="I3" s="1155"/>
      <c r="J3" s="1155"/>
      <c r="K3" s="1156"/>
    </row>
    <row r="4" spans="1:11" ht="12" thickBot="1">
      <c r="A4" s="192" t="s">
        <v>178</v>
      </c>
      <c r="B4" s="910">
        <v>1</v>
      </c>
      <c r="C4" s="1318" t="s">
        <v>30</v>
      </c>
      <c r="D4" s="1318"/>
    </row>
    <row r="5" spans="1:11">
      <c r="A5" s="170" t="s">
        <v>156</v>
      </c>
      <c r="B5" s="892">
        <v>1</v>
      </c>
      <c r="C5" s="1320" t="s">
        <v>30</v>
      </c>
      <c r="D5" s="1320"/>
    </row>
    <row r="6" spans="1:11">
      <c r="A6" s="150" t="s">
        <v>143</v>
      </c>
      <c r="B6" s="883">
        <v>2</v>
      </c>
      <c r="C6" s="1303" t="s">
        <v>30</v>
      </c>
      <c r="D6" s="1303"/>
      <c r="E6" s="190"/>
      <c r="H6" s="69"/>
      <c r="I6" s="69"/>
      <c r="J6" s="69"/>
    </row>
    <row r="7" spans="1:11" ht="12" thickBot="1">
      <c r="A7" s="137" t="s">
        <v>146</v>
      </c>
      <c r="B7" s="884">
        <v>3</v>
      </c>
      <c r="C7" s="1304" t="s">
        <v>30</v>
      </c>
      <c r="D7" s="1304"/>
      <c r="E7" s="191"/>
      <c r="H7" s="69"/>
      <c r="I7" s="69"/>
      <c r="J7" s="69"/>
    </row>
    <row r="8" spans="1:11" ht="12" thickBot="1">
      <c r="A8" s="188" t="s">
        <v>53</v>
      </c>
      <c r="B8" s="911">
        <v>1</v>
      </c>
      <c r="C8" s="1319" t="s">
        <v>30</v>
      </c>
      <c r="D8" s="1319"/>
    </row>
    <row r="9" spans="1:11" ht="12" thickBot="1">
      <c r="A9" s="1305"/>
      <c r="B9" s="1306"/>
      <c r="C9" s="1306"/>
      <c r="D9" s="1307"/>
    </row>
    <row r="10" spans="1:11" ht="12" thickBot="1">
      <c r="A10" s="180" t="s">
        <v>186</v>
      </c>
      <c r="B10" s="908">
        <f>CEILING((B3-0.1)/0.4,1)+1</f>
        <v>4</v>
      </c>
      <c r="C10" s="1308" t="s">
        <v>29</v>
      </c>
      <c r="D10" s="1309"/>
    </row>
    <row r="11" spans="1:11" ht="12" thickBot="1">
      <c r="A11" s="1249"/>
      <c r="B11" s="1249"/>
      <c r="C11" s="1249"/>
      <c r="D11" s="1249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188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189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191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225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192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193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194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166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167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195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196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197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198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200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226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204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227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205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206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208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162</v>
      </c>
      <c r="B34" s="72">
        <f>B6</f>
        <v>2</v>
      </c>
      <c r="C34" s="832"/>
      <c r="D34" s="176">
        <f>B34*C34</f>
        <v>0</v>
      </c>
    </row>
    <row r="35" spans="1:4">
      <c r="A35" s="131" t="s">
        <v>171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172</v>
      </c>
      <c r="B36" s="177">
        <f>B7</f>
        <v>3</v>
      </c>
      <c r="C36" s="888"/>
      <c r="D36" s="68">
        <f>B36*C36</f>
        <v>0</v>
      </c>
    </row>
    <row r="37" spans="1:4" ht="12" thickBot="1">
      <c r="A37" s="1296"/>
      <c r="B37" s="1297"/>
      <c r="C37" s="1297"/>
      <c r="D37" s="1298"/>
    </row>
    <row r="38" spans="1:4" ht="12.75">
      <c r="A38" s="1293" t="s">
        <v>182</v>
      </c>
      <c r="B38" s="1294"/>
      <c r="C38" s="1294"/>
      <c r="D38" s="1295"/>
    </row>
    <row r="39" spans="1:4">
      <c r="A39" s="182" t="s">
        <v>215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216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29" t="s">
        <v>344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235" t="s">
        <v>177</v>
      </c>
      <c r="B3" s="827">
        <v>2</v>
      </c>
      <c r="C3" s="1189" t="s">
        <v>30</v>
      </c>
      <c r="D3" s="1132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1" t="s">
        <v>30</v>
      </c>
      <c r="D5" s="1322"/>
    </row>
    <row r="6" spans="1:10">
      <c r="A6" s="178" t="s">
        <v>345</v>
      </c>
      <c r="B6" s="905">
        <v>1</v>
      </c>
      <c r="C6" s="1323" t="s">
        <v>30</v>
      </c>
      <c r="D6" s="1324"/>
      <c r="H6" s="69"/>
    </row>
    <row r="7" spans="1:10" ht="12" thickBot="1">
      <c r="A7" s="238" t="s">
        <v>346</v>
      </c>
      <c r="B7" s="914">
        <v>1</v>
      </c>
      <c r="C7" s="1325" t="s">
        <v>30</v>
      </c>
      <c r="D7" s="1326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304" t="s">
        <v>30</v>
      </c>
      <c r="D9" s="1304"/>
      <c r="E9" s="191"/>
      <c r="H9" s="69"/>
      <c r="I9" s="69"/>
      <c r="J9" s="69"/>
    </row>
    <row r="10" spans="1:10" ht="12" thickBot="1">
      <c r="A10" s="1313" t="s">
        <v>182</v>
      </c>
      <c r="B10" s="1313"/>
      <c r="C10" s="1313"/>
      <c r="D10" s="1313"/>
      <c r="H10" s="69"/>
    </row>
    <row r="11" spans="1:10">
      <c r="A11" s="178" t="s">
        <v>315</v>
      </c>
      <c r="B11" s="905">
        <v>0</v>
      </c>
      <c r="C11" s="1314" t="s">
        <v>33</v>
      </c>
      <c r="D11" s="1315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9" t="s">
        <v>33</v>
      </c>
      <c r="D15" s="1330"/>
      <c r="F15" s="69"/>
      <c r="G15" s="69"/>
      <c r="H15" s="69"/>
    </row>
    <row r="16" spans="1:10" ht="12" thickBot="1">
      <c r="A16" s="1305"/>
      <c r="B16" s="1306"/>
      <c r="C16" s="1306"/>
      <c r="D16" s="1307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08" t="s">
        <v>321</v>
      </c>
      <c r="D17" s="1309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08" t="s">
        <v>29</v>
      </c>
      <c r="D18" s="1309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0" t="s">
        <v>29</v>
      </c>
      <c r="D19" s="1311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331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(IF(B4&gt;2,B18+4,B18+3))*B19+4*B7</f>
        <v>22</v>
      </c>
      <c r="C35" s="832"/>
      <c r="D35" s="229">
        <f t="shared" si="0"/>
        <v>0</v>
      </c>
      <c r="E35" t="s">
        <v>350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32"/>
      <c r="D46" s="229">
        <f>B46*C46</f>
        <v>0</v>
      </c>
    </row>
    <row r="47" spans="1:5" ht="12" thickBot="1">
      <c r="A47" s="1296"/>
      <c r="B47" s="1297"/>
      <c r="C47" s="1297"/>
      <c r="D47" s="1298"/>
    </row>
    <row r="48" spans="1:5" ht="12.75">
      <c r="A48" s="1293" t="s">
        <v>182</v>
      </c>
      <c r="B48" s="1294"/>
      <c r="C48" s="1294"/>
      <c r="D48" s="1295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7" t="s">
        <v>340</v>
      </c>
      <c r="G63" s="1328"/>
      <c r="H63" s="1257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29" t="s">
        <v>352</v>
      </c>
      <c r="B1" s="1130"/>
      <c r="C1" s="1130"/>
      <c r="D1" s="1184"/>
    </row>
    <row r="2" spans="1:10" ht="15" thickBot="1">
      <c r="A2" s="1185" t="s">
        <v>3</v>
      </c>
      <c r="B2" s="1186"/>
      <c r="C2" s="1186"/>
      <c r="D2" s="1187"/>
    </row>
    <row r="3" spans="1:10">
      <c r="A3" s="235" t="s">
        <v>177</v>
      </c>
      <c r="B3" s="827">
        <v>2</v>
      </c>
      <c r="C3" s="1189" t="s">
        <v>30</v>
      </c>
      <c r="D3" s="1132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1" t="s">
        <v>30</v>
      </c>
      <c r="D5" s="1322"/>
    </row>
    <row r="6" spans="1:10">
      <c r="A6" s="178" t="s">
        <v>353</v>
      </c>
      <c r="B6" s="905">
        <v>1</v>
      </c>
      <c r="C6" s="1323" t="s">
        <v>30</v>
      </c>
      <c r="D6" s="1324"/>
      <c r="H6" s="69"/>
    </row>
    <row r="7" spans="1:10" ht="12" thickBot="1">
      <c r="A7" s="238" t="s">
        <v>354</v>
      </c>
      <c r="B7" s="914">
        <v>1</v>
      </c>
      <c r="C7" s="1325" t="s">
        <v>30</v>
      </c>
      <c r="D7" s="1326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304" t="s">
        <v>30</v>
      </c>
      <c r="D9" s="1304"/>
      <c r="E9" s="191"/>
      <c r="H9" s="69"/>
      <c r="I9" s="69"/>
      <c r="J9" s="69"/>
    </row>
    <row r="10" spans="1:10" ht="12" thickBot="1">
      <c r="A10" s="1313" t="s">
        <v>182</v>
      </c>
      <c r="B10" s="1313"/>
      <c r="C10" s="1313"/>
      <c r="D10" s="1313"/>
      <c r="H10" s="69"/>
    </row>
    <row r="11" spans="1:10">
      <c r="A11" s="178" t="s">
        <v>315</v>
      </c>
      <c r="B11" s="905">
        <v>0</v>
      </c>
      <c r="C11" s="1314" t="s">
        <v>33</v>
      </c>
      <c r="D11" s="1315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9" t="s">
        <v>33</v>
      </c>
      <c r="D15" s="1330"/>
      <c r="F15" s="69"/>
      <c r="G15" s="69"/>
      <c r="H15" s="69"/>
    </row>
    <row r="16" spans="1:10" ht="12" thickBot="1">
      <c r="A16" s="1305"/>
      <c r="B16" s="1306"/>
      <c r="C16" s="1306"/>
      <c r="D16" s="1307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08" t="s">
        <v>321</v>
      </c>
      <c r="D17" s="1309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08" t="s">
        <v>29</v>
      </c>
      <c r="D18" s="1309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0" t="s">
        <v>29</v>
      </c>
      <c r="D19" s="1311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331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B18*4*B19+8*B7</f>
        <v>56</v>
      </c>
      <c r="C35" s="832"/>
      <c r="D35" s="229">
        <f t="shared" si="0"/>
        <v>0</v>
      </c>
      <c r="E35" t="s">
        <v>356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1331" t="s">
        <v>355</v>
      </c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1331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162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172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96"/>
      <c r="B47" s="1297"/>
      <c r="C47" s="1297"/>
      <c r="D47" s="1298"/>
    </row>
    <row r="48" spans="1:5" ht="12.75">
      <c r="A48" s="1293" t="s">
        <v>182</v>
      </c>
      <c r="B48" s="1294"/>
      <c r="C48" s="1294"/>
      <c r="D48" s="1295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7" t="s">
        <v>340</v>
      </c>
      <c r="G63" s="1328"/>
      <c r="H63" s="1257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8" t="s">
        <v>247</v>
      </c>
      <c r="B1" s="1274"/>
      <c r="C1" s="1274"/>
      <c r="D1" s="1274"/>
    </row>
    <row r="2" spans="1:4">
      <c r="A2" s="108" t="s">
        <v>10</v>
      </c>
      <c r="B2" s="827">
        <v>10</v>
      </c>
      <c r="C2" s="1189" t="s">
        <v>124</v>
      </c>
      <c r="D2" s="1132"/>
    </row>
    <row r="3" spans="1:4" ht="22.5">
      <c r="A3" s="198" t="s">
        <v>245</v>
      </c>
      <c r="B3" s="893">
        <v>0</v>
      </c>
      <c r="C3" s="1287" t="s">
        <v>30</v>
      </c>
      <c r="D3" s="1134"/>
    </row>
    <row r="4" spans="1:4">
      <c r="A4" s="198" t="s">
        <v>246</v>
      </c>
      <c r="B4" s="893">
        <v>1</v>
      </c>
      <c r="C4" s="1260" t="s">
        <v>30</v>
      </c>
      <c r="D4" s="1261"/>
    </row>
    <row r="5" spans="1:4">
      <c r="A5" s="198" t="s">
        <v>249</v>
      </c>
      <c r="B5" s="893">
        <v>0</v>
      </c>
      <c r="C5" s="1260" t="s">
        <v>30</v>
      </c>
      <c r="D5" s="1261"/>
    </row>
    <row r="6" spans="1:4">
      <c r="A6" s="198" t="s">
        <v>248</v>
      </c>
      <c r="B6" s="893">
        <v>0</v>
      </c>
      <c r="C6" s="1260" t="s">
        <v>30</v>
      </c>
      <c r="D6" s="1261"/>
    </row>
    <row r="7" spans="1:4">
      <c r="A7" s="198" t="s">
        <v>250</v>
      </c>
      <c r="B7" s="893">
        <v>1</v>
      </c>
      <c r="C7" s="1260" t="s">
        <v>30</v>
      </c>
      <c r="D7" s="1261"/>
    </row>
    <row r="8" spans="1:4" ht="33.75" customHeight="1">
      <c r="A8" s="203" t="s">
        <v>256</v>
      </c>
      <c r="B8" s="830">
        <v>1</v>
      </c>
      <c r="C8" s="1332" t="s">
        <v>257</v>
      </c>
      <c r="D8" s="1261"/>
    </row>
    <row r="9" spans="1:4">
      <c r="A9" s="202" t="s">
        <v>253</v>
      </c>
      <c r="B9" s="829">
        <v>1</v>
      </c>
      <c r="C9" s="196" t="s">
        <v>254</v>
      </c>
      <c r="D9" s="195" t="s">
        <v>255</v>
      </c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279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688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251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252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233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236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237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689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690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691</v>
      </c>
      <c r="B22" s="201">
        <f>IF(B4=0,0,B4)</f>
        <v>1</v>
      </c>
      <c r="C22" s="847"/>
      <c r="D22" s="731"/>
    </row>
    <row r="23" spans="1:4" ht="15">
      <c r="A23" s="199" t="s">
        <v>692</v>
      </c>
      <c r="B23" s="201">
        <f>IF(B4=0,0,B4)</f>
        <v>1</v>
      </c>
      <c r="C23" s="847"/>
      <c r="D23" s="731"/>
    </row>
    <row r="24" spans="1:4" ht="15">
      <c r="A24" s="199" t="s">
        <v>234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238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235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280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281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239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244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240</v>
      </c>
      <c r="B31" s="201"/>
      <c r="C31" s="835"/>
      <c r="D31" s="194">
        <f t="shared" si="0"/>
        <v>0</v>
      </c>
    </row>
    <row r="32" spans="1:4" ht="15">
      <c r="A32" s="199" t="s">
        <v>241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242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243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88" t="s">
        <v>999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 ht="21.75" customHeight="1">
      <c r="A4" s="1050" t="s">
        <v>245</v>
      </c>
      <c r="B4" s="1051">
        <v>1</v>
      </c>
      <c r="C4" s="1333" t="s">
        <v>30</v>
      </c>
      <c r="D4" s="1334"/>
    </row>
    <row r="5" spans="1:4" ht="14.25" customHeight="1">
      <c r="A5" s="198" t="s">
        <v>246</v>
      </c>
      <c r="B5" s="893">
        <v>0</v>
      </c>
      <c r="C5" s="1260" t="s">
        <v>30</v>
      </c>
      <c r="D5" s="1261"/>
    </row>
    <row r="6" spans="1:4" ht="14.25" customHeight="1">
      <c r="A6" s="1052" t="s">
        <v>1001</v>
      </c>
      <c r="B6" s="893">
        <v>1</v>
      </c>
      <c r="C6" s="1021" t="s">
        <v>1002</v>
      </c>
      <c r="D6" s="1022" t="s">
        <v>254</v>
      </c>
    </row>
    <row r="7" spans="1:4">
      <c r="A7" s="813" t="s">
        <v>256</v>
      </c>
      <c r="B7" s="830">
        <v>1</v>
      </c>
      <c r="C7" s="1332" t="s">
        <v>257</v>
      </c>
      <c r="D7" s="1261"/>
    </row>
    <row r="8" spans="1:4">
      <c r="A8" s="814" t="s">
        <v>253</v>
      </c>
      <c r="B8" s="829">
        <v>1</v>
      </c>
      <c r="C8" s="1024" t="s">
        <v>254</v>
      </c>
      <c r="D8" s="1022" t="s">
        <v>255</v>
      </c>
    </row>
    <row r="9" spans="1:4" ht="12" thickBot="1">
      <c r="A9" s="110" t="s">
        <v>1005</v>
      </c>
      <c r="B9" s="828"/>
      <c r="C9" s="1025"/>
      <c r="D9" s="1026"/>
    </row>
    <row r="10" spans="1:4" ht="12" thickBot="1">
      <c r="A10" s="1268"/>
      <c r="B10" s="1268"/>
      <c r="C10" s="1268"/>
      <c r="D10" s="1268"/>
    </row>
    <row r="11" spans="1:4" ht="12.75">
      <c r="A11" s="96" t="s">
        <v>5</v>
      </c>
      <c r="B11" s="97" t="s">
        <v>0</v>
      </c>
      <c r="C11" s="117" t="s">
        <v>4</v>
      </c>
      <c r="D11" s="1027" t="s">
        <v>8</v>
      </c>
    </row>
    <row r="12" spans="1:4" ht="15">
      <c r="A12" s="199" t="s">
        <v>279</v>
      </c>
      <c r="B12" s="204">
        <f>(B2-0.165)*(B4+B5)</f>
        <v>0.83499999999999996</v>
      </c>
      <c r="C12" s="847">
        <v>9</v>
      </c>
      <c r="D12" s="1023">
        <f t="shared" ref="D12:D29" si="0">C12*B12</f>
        <v>7.5149999999999997</v>
      </c>
    </row>
    <row r="13" spans="1:4" ht="15">
      <c r="A13" s="199" t="s">
        <v>688</v>
      </c>
      <c r="B13" s="201">
        <f>ROUNDUP(B2*8*B4,0)+EVEN(B2*8*B5)</f>
        <v>8</v>
      </c>
      <c r="C13" s="847"/>
      <c r="D13" s="1023">
        <f t="shared" si="0"/>
        <v>0</v>
      </c>
    </row>
    <row r="14" spans="1:4" ht="15">
      <c r="A14" s="199" t="s">
        <v>1000</v>
      </c>
      <c r="B14" s="201">
        <f>IF(B6=0,(B4+B5)*2,B4+B5)</f>
        <v>1</v>
      </c>
      <c r="C14" s="847"/>
      <c r="D14" s="1023">
        <f t="shared" si="0"/>
        <v>0</v>
      </c>
    </row>
    <row r="15" spans="1:4" ht="15">
      <c r="A15" s="199" t="s">
        <v>1004</v>
      </c>
      <c r="B15" s="201">
        <f>IF( B6=1,B4+B5,0)</f>
        <v>1</v>
      </c>
      <c r="C15" s="847"/>
      <c r="D15" s="1023">
        <f t="shared" si="0"/>
        <v>0</v>
      </c>
    </row>
    <row r="16" spans="1:4" ht="15">
      <c r="A16" s="199" t="s">
        <v>233</v>
      </c>
      <c r="B16" s="201">
        <f>ROUNDUP(B2/0.5,0)*(B4+B5)</f>
        <v>2</v>
      </c>
      <c r="C16" s="847"/>
      <c r="D16" s="1023">
        <f t="shared" si="0"/>
        <v>0</v>
      </c>
    </row>
    <row r="17" spans="1:4" ht="15">
      <c r="A17" s="199" t="s">
        <v>236</v>
      </c>
      <c r="B17" s="201">
        <f>(IF(B7=2,ROUNDUP(B2/0.5,0),0))*(B4+B5)</f>
        <v>0</v>
      </c>
      <c r="C17" s="835"/>
      <c r="D17" s="1023">
        <f t="shared" si="0"/>
        <v>0</v>
      </c>
    </row>
    <row r="18" spans="1:4" ht="15">
      <c r="A18" s="199" t="s">
        <v>237</v>
      </c>
      <c r="B18" s="201">
        <f>(IF(B7=3,ROUNDUP(B2/0.5,0),0))*(B4+B5)</f>
        <v>0</v>
      </c>
      <c r="C18" s="835"/>
      <c r="D18" s="1023">
        <f t="shared" si="0"/>
        <v>0</v>
      </c>
    </row>
    <row r="19" spans="1:4" ht="15">
      <c r="A19" s="199" t="s">
        <v>689</v>
      </c>
      <c r="B19" s="201">
        <f>IF(B4=0,B5*2,B4*2)</f>
        <v>2</v>
      </c>
      <c r="C19" s="847"/>
      <c r="D19" s="1023">
        <f t="shared" si="0"/>
        <v>0</v>
      </c>
    </row>
    <row r="20" spans="1:4" ht="15">
      <c r="A20" s="199" t="s">
        <v>691</v>
      </c>
      <c r="B20" s="201">
        <f>IF(B5=0,0,B5*2)</f>
        <v>0</v>
      </c>
      <c r="C20" s="847"/>
      <c r="D20" s="1023"/>
    </row>
    <row r="21" spans="1:4" ht="15">
      <c r="A21" s="199" t="s">
        <v>692</v>
      </c>
      <c r="B21" s="201">
        <f>IF(B5=0,0,B5*2)</f>
        <v>0</v>
      </c>
      <c r="C21" s="847"/>
      <c r="D21" s="1023"/>
    </row>
    <row r="22" spans="1:4" ht="15">
      <c r="A22" s="199" t="s">
        <v>234</v>
      </c>
      <c r="B22" s="201">
        <f>B4*2+4*B5</f>
        <v>2</v>
      </c>
      <c r="C22" s="847"/>
      <c r="D22" s="1023">
        <f t="shared" si="0"/>
        <v>0</v>
      </c>
    </row>
    <row r="23" spans="1:4" ht="15">
      <c r="A23" s="199" t="s">
        <v>238</v>
      </c>
      <c r="B23" s="201">
        <f>B2*2+0.11*(B4+B5)</f>
        <v>2.11</v>
      </c>
      <c r="C23" s="835"/>
      <c r="D23" s="1023">
        <f t="shared" si="0"/>
        <v>0</v>
      </c>
    </row>
    <row r="24" spans="1:4" ht="15">
      <c r="A24" s="199" t="s">
        <v>235</v>
      </c>
      <c r="B24" s="201">
        <f>B4*2+B5*4</f>
        <v>2</v>
      </c>
      <c r="C24" s="848"/>
      <c r="D24" s="1023">
        <f t="shared" si="0"/>
        <v>0</v>
      </c>
    </row>
    <row r="25" spans="1:4" ht="15">
      <c r="A25" s="199" t="s">
        <v>1023</v>
      </c>
      <c r="B25" s="201">
        <f>(B4+B5)*2</f>
        <v>2</v>
      </c>
      <c r="C25" s="848"/>
      <c r="D25" s="1023">
        <f t="shared" si="0"/>
        <v>0</v>
      </c>
    </row>
    <row r="26" spans="1:4" ht="15">
      <c r="A26" s="199" t="s">
        <v>281</v>
      </c>
      <c r="B26" s="201">
        <f>B4</f>
        <v>1</v>
      </c>
      <c r="C26" s="848"/>
      <c r="D26" s="1023">
        <f t="shared" si="0"/>
        <v>0</v>
      </c>
    </row>
    <row r="27" spans="1:4" ht="15">
      <c r="A27" s="199" t="s">
        <v>239</v>
      </c>
      <c r="B27" s="201">
        <f>(IF(B8=1,B4+B5,0))</f>
        <v>1</v>
      </c>
      <c r="C27" s="835"/>
      <c r="D27" s="1023">
        <f t="shared" si="0"/>
        <v>0</v>
      </c>
    </row>
    <row r="28" spans="1:4" ht="15">
      <c r="A28" s="200" t="s">
        <v>240</v>
      </c>
      <c r="B28" s="201"/>
      <c r="C28" s="835"/>
      <c r="D28" s="1023">
        <f t="shared" si="0"/>
        <v>0</v>
      </c>
    </row>
    <row r="29" spans="1:4" ht="15">
      <c r="A29" s="199" t="s">
        <v>1003</v>
      </c>
      <c r="B29" s="201">
        <f>B4+B5</f>
        <v>1</v>
      </c>
      <c r="C29" s="835"/>
      <c r="D29" s="1023">
        <f t="shared" si="0"/>
        <v>0</v>
      </c>
    </row>
    <row r="30" spans="1:4" ht="15">
      <c r="A30" s="199" t="s">
        <v>1006</v>
      </c>
      <c r="B30" s="201">
        <f>B9</f>
        <v>0</v>
      </c>
      <c r="C30" s="835"/>
      <c r="D30" s="1023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8" t="s">
        <v>305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22.5">
      <c r="A3" s="198" t="s">
        <v>245</v>
      </c>
      <c r="B3" s="893">
        <v>0</v>
      </c>
      <c r="C3" s="1287" t="s">
        <v>30</v>
      </c>
      <c r="D3" s="1134"/>
    </row>
    <row r="4" spans="1:4">
      <c r="A4" s="198" t="s">
        <v>246</v>
      </c>
      <c r="B4" s="893">
        <v>1</v>
      </c>
      <c r="C4" s="1260" t="s">
        <v>30</v>
      </c>
      <c r="D4" s="1261"/>
    </row>
    <row r="5" spans="1:4">
      <c r="A5" s="198" t="s">
        <v>249</v>
      </c>
      <c r="B5" s="893">
        <v>1</v>
      </c>
      <c r="C5" s="1260" t="s">
        <v>30</v>
      </c>
      <c r="D5" s="1261"/>
    </row>
    <row r="6" spans="1:4">
      <c r="A6" s="198" t="s">
        <v>248</v>
      </c>
      <c r="B6" s="893">
        <v>0</v>
      </c>
      <c r="C6" s="1260" t="s">
        <v>30</v>
      </c>
      <c r="D6" s="1261"/>
    </row>
    <row r="7" spans="1:4">
      <c r="A7" s="198" t="s">
        <v>250</v>
      </c>
      <c r="B7" s="893">
        <v>0</v>
      </c>
      <c r="C7" s="1260" t="s">
        <v>30</v>
      </c>
      <c r="D7" s="1261"/>
    </row>
    <row r="8" spans="1:4" ht="33" customHeight="1">
      <c r="A8" s="203" t="s">
        <v>302</v>
      </c>
      <c r="B8" s="830">
        <v>1</v>
      </c>
      <c r="C8" s="1332" t="s">
        <v>303</v>
      </c>
      <c r="D8" s="1261"/>
    </row>
    <row r="9" spans="1:4" ht="35.25" customHeight="1">
      <c r="A9" s="203" t="s">
        <v>304</v>
      </c>
      <c r="B9" s="830">
        <v>3</v>
      </c>
      <c r="C9" s="1332" t="s">
        <v>306</v>
      </c>
      <c r="D9" s="1261"/>
    </row>
    <row r="10" spans="1:4">
      <c r="A10" s="203" t="s">
        <v>290</v>
      </c>
      <c r="B10" s="829">
        <v>1</v>
      </c>
      <c r="C10" s="217" t="s">
        <v>254</v>
      </c>
      <c r="D10" s="216" t="s">
        <v>255</v>
      </c>
    </row>
    <row r="11" spans="1:4">
      <c r="A11" s="202" t="s">
        <v>253</v>
      </c>
      <c r="B11" s="829">
        <v>2</v>
      </c>
      <c r="C11" s="217" t="s">
        <v>254</v>
      </c>
      <c r="D11" s="216" t="s">
        <v>255</v>
      </c>
    </row>
    <row r="12" spans="1:4" ht="22.5">
      <c r="A12" s="225" t="s">
        <v>301</v>
      </c>
      <c r="B12" s="829">
        <v>1</v>
      </c>
      <c r="C12" s="217"/>
      <c r="D12" s="216"/>
    </row>
    <row r="13" spans="1:4" ht="12" thickBot="1">
      <c r="A13" s="146" t="s">
        <v>142</v>
      </c>
      <c r="B13" s="896">
        <v>1</v>
      </c>
      <c r="C13" s="1291" t="s">
        <v>30</v>
      </c>
      <c r="D13" s="1292"/>
    </row>
    <row r="14" spans="1:4" ht="12" thickBot="1">
      <c r="A14" s="1268"/>
      <c r="B14" s="1268"/>
      <c r="C14" s="1268"/>
      <c r="D14" s="1268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292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287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288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289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294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295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296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297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298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234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291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290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238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300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312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293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299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308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309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240</v>
      </c>
      <c r="B35" s="201"/>
      <c r="C35" s="835"/>
      <c r="D35" s="215">
        <f t="shared" si="0"/>
        <v>0</v>
      </c>
    </row>
    <row r="36" spans="1:4" ht="15">
      <c r="A36" s="199" t="s">
        <v>310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307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311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88" t="s">
        <v>1012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5.75" customHeight="1">
      <c r="A3" s="1056" t="s">
        <v>245</v>
      </c>
      <c r="B3" s="1051">
        <v>0</v>
      </c>
      <c r="C3" s="1333" t="s">
        <v>30</v>
      </c>
      <c r="D3" s="1334"/>
    </row>
    <row r="4" spans="1:4" ht="13.5" customHeight="1">
      <c r="A4" s="198" t="s">
        <v>246</v>
      </c>
      <c r="B4" s="893">
        <v>1</v>
      </c>
      <c r="C4" s="1260" t="s">
        <v>30</v>
      </c>
      <c r="D4" s="1261"/>
    </row>
    <row r="5" spans="1:4" ht="25.5" customHeight="1">
      <c r="A5" s="1050" t="s">
        <v>587</v>
      </c>
      <c r="B5" s="1051">
        <v>0</v>
      </c>
      <c r="C5" s="1335" t="s">
        <v>1011</v>
      </c>
      <c r="D5" s="1336"/>
    </row>
    <row r="6" spans="1:4" ht="15" customHeight="1">
      <c r="A6" s="1050" t="s">
        <v>1018</v>
      </c>
      <c r="B6" s="1051"/>
      <c r="C6" s="1335" t="s">
        <v>1014</v>
      </c>
      <c r="D6" s="1336"/>
    </row>
    <row r="7" spans="1:4" ht="12.75" customHeight="1">
      <c r="A7" s="198" t="s">
        <v>1013</v>
      </c>
      <c r="B7" s="893">
        <v>1</v>
      </c>
      <c r="C7" s="1260" t="s">
        <v>1014</v>
      </c>
      <c r="D7" s="1261"/>
    </row>
    <row r="8" spans="1:4">
      <c r="A8" s="202" t="s">
        <v>253</v>
      </c>
      <c r="B8" s="829">
        <v>0</v>
      </c>
      <c r="C8" s="1024" t="s">
        <v>1002</v>
      </c>
      <c r="D8" s="1022" t="s">
        <v>1022</v>
      </c>
    </row>
    <row r="9" spans="1:4" ht="24.75" customHeight="1">
      <c r="A9" s="1053" t="s">
        <v>301</v>
      </c>
      <c r="B9" s="830">
        <v>1</v>
      </c>
      <c r="C9" s="1054"/>
      <c r="D9" s="1055"/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027" t="s">
        <v>8</v>
      </c>
    </row>
    <row r="13" spans="1:4" ht="12" customHeight="1">
      <c r="A13" s="224" t="s">
        <v>292</v>
      </c>
      <c r="B13" s="222">
        <f>IF(B4+B3&gt;0,(B2-0.14)*(B3+B4),0)</f>
        <v>0.86</v>
      </c>
      <c r="C13" s="847">
        <v>9</v>
      </c>
      <c r="D13" s="1023">
        <f>C13*B13</f>
        <v>7.74</v>
      </c>
    </row>
    <row r="14" spans="1:4" ht="12" customHeight="1">
      <c r="A14" s="224" t="s">
        <v>1017</v>
      </c>
      <c r="B14" s="223">
        <f>IF(B7=0,ROUNDUP(B2*10*B3,0)+EVEN(B2*10*B4),0)</f>
        <v>0</v>
      </c>
      <c r="C14" s="847"/>
      <c r="D14" s="1023">
        <f t="shared" ref="D14:D32" si="0">C14*B14</f>
        <v>0</v>
      </c>
    </row>
    <row r="15" spans="1:4" ht="12" customHeight="1">
      <c r="A15" s="224" t="s">
        <v>1016</v>
      </c>
      <c r="B15" s="223">
        <f>IF(B7=1,ROUNDUP(B2*10*B3,0)+EVEN(B2*10*B4),0)</f>
        <v>10</v>
      </c>
      <c r="C15" s="847"/>
      <c r="D15" s="1023">
        <f t="shared" si="0"/>
        <v>0</v>
      </c>
    </row>
    <row r="16" spans="1:4" ht="12" customHeight="1">
      <c r="A16" s="224" t="s">
        <v>1008</v>
      </c>
      <c r="B16" s="223">
        <f>B4+B3</f>
        <v>1</v>
      </c>
      <c r="C16" s="847"/>
      <c r="D16" s="1023">
        <f t="shared" si="0"/>
        <v>0</v>
      </c>
    </row>
    <row r="17" spans="1:4" ht="12" customHeight="1">
      <c r="A17" s="224" t="s">
        <v>1007</v>
      </c>
      <c r="B17" s="223">
        <f>(B3+B4)</f>
        <v>1</v>
      </c>
      <c r="C17" s="847"/>
      <c r="D17" s="1023">
        <f t="shared" si="0"/>
        <v>0</v>
      </c>
    </row>
    <row r="18" spans="1:4" ht="12" customHeight="1">
      <c r="A18" s="224" t="s">
        <v>1009</v>
      </c>
      <c r="B18" s="223">
        <f>(IF(B4+B3&gt;0,ROUNDUP($B$2/0.5,0),0))*(B3+B4)</f>
        <v>2</v>
      </c>
      <c r="C18" s="847"/>
      <c r="D18" s="1023">
        <f t="shared" si="0"/>
        <v>0</v>
      </c>
    </row>
    <row r="19" spans="1:4" ht="12" customHeight="1">
      <c r="A19" s="199" t="s">
        <v>234</v>
      </c>
      <c r="B19" s="201">
        <f>B3*2+4*B4</f>
        <v>4</v>
      </c>
      <c r="C19" s="847"/>
      <c r="D19" s="1023">
        <f t="shared" si="0"/>
        <v>0</v>
      </c>
    </row>
    <row r="20" spans="1:4" ht="12" customHeight="1">
      <c r="A20" s="224" t="s">
        <v>1010</v>
      </c>
      <c r="B20" s="223">
        <f>IF(AND( B3&gt;0,B7=0),B3,B4*2)</f>
        <v>2</v>
      </c>
      <c r="C20" s="847"/>
      <c r="D20" s="1023">
        <f t="shared" si="0"/>
        <v>0</v>
      </c>
    </row>
    <row r="21" spans="1:4" ht="12" customHeight="1">
      <c r="A21" s="224" t="s">
        <v>1015</v>
      </c>
      <c r="B21" s="223">
        <f>IF(AND( B3&gt;0,B7=1),B3,B4)</f>
        <v>1</v>
      </c>
      <c r="C21" s="847"/>
      <c r="D21" s="1023">
        <f t="shared" si="0"/>
        <v>0</v>
      </c>
    </row>
    <row r="22" spans="1:4" ht="12" customHeight="1">
      <c r="A22" s="224" t="s">
        <v>1021</v>
      </c>
      <c r="B22" s="223">
        <f>IF(AND( B3&gt;0,B7=1),0,B4)</f>
        <v>1</v>
      </c>
      <c r="C22" s="847"/>
      <c r="D22" s="1023">
        <f t="shared" si="0"/>
        <v>0</v>
      </c>
    </row>
    <row r="23" spans="1:4" ht="12" customHeight="1">
      <c r="A23" s="224" t="s">
        <v>1020</v>
      </c>
      <c r="B23" s="223">
        <f>(B3+B4)*2</f>
        <v>2</v>
      </c>
      <c r="C23" s="847"/>
      <c r="D23" s="1023">
        <f t="shared" si="0"/>
        <v>0</v>
      </c>
    </row>
    <row r="24" spans="1:4" ht="12" customHeight="1">
      <c r="A24" s="221" t="s">
        <v>238</v>
      </c>
      <c r="B24" s="223">
        <f>(($B$2-0.14)*2+0.21)*(B3+B4)</f>
        <v>1.93</v>
      </c>
      <c r="C24" s="835"/>
      <c r="D24" s="1023">
        <f t="shared" si="0"/>
        <v>0</v>
      </c>
    </row>
    <row r="25" spans="1:4" ht="12" customHeight="1">
      <c r="A25" s="221" t="s">
        <v>1019</v>
      </c>
      <c r="B25" s="223">
        <f>(B3+B4)*2</f>
        <v>2</v>
      </c>
      <c r="C25" s="835"/>
      <c r="D25" s="1023">
        <f t="shared" si="0"/>
        <v>0</v>
      </c>
    </row>
    <row r="26" spans="1:4" ht="12" customHeight="1">
      <c r="A26" s="224" t="s">
        <v>299</v>
      </c>
      <c r="B26" s="223">
        <f>(IF(B8=1,B3+B4,0))</f>
        <v>0</v>
      </c>
      <c r="C26" s="835"/>
      <c r="D26" s="1023">
        <f t="shared" si="0"/>
        <v>0</v>
      </c>
    </row>
    <row r="27" spans="1:4" ht="12" customHeight="1">
      <c r="A27" s="224" t="s">
        <v>308</v>
      </c>
      <c r="B27" s="223">
        <f>B7</f>
        <v>1</v>
      </c>
      <c r="C27" s="835"/>
      <c r="D27" s="1023">
        <f t="shared" si="0"/>
        <v>0</v>
      </c>
    </row>
    <row r="28" spans="1:4" ht="12" customHeight="1">
      <c r="A28" s="221" t="s">
        <v>309</v>
      </c>
      <c r="B28" s="223">
        <f>B10</f>
        <v>1</v>
      </c>
      <c r="C28" s="848"/>
      <c r="D28" s="1023">
        <f t="shared" si="0"/>
        <v>0</v>
      </c>
    </row>
    <row r="29" spans="1:4" ht="12" customHeight="1">
      <c r="A29" s="200" t="s">
        <v>240</v>
      </c>
      <c r="B29" s="201"/>
      <c r="C29" s="835"/>
      <c r="D29" s="1023">
        <f t="shared" si="0"/>
        <v>0</v>
      </c>
    </row>
    <row r="30" spans="1:4" ht="12" customHeight="1">
      <c r="A30" s="199" t="s">
        <v>241</v>
      </c>
      <c r="B30" s="201">
        <f>IF(B5=0,B3+B4,0)</f>
        <v>1</v>
      </c>
      <c r="C30" s="835"/>
      <c r="D30" s="1023">
        <f t="shared" si="0"/>
        <v>0</v>
      </c>
    </row>
    <row r="31" spans="1:4" ht="12" customHeight="1">
      <c r="A31" s="199" t="s">
        <v>242</v>
      </c>
      <c r="B31" s="201">
        <f>IF(B5=2,B3+B4,0)</f>
        <v>0</v>
      </c>
      <c r="C31" s="835"/>
      <c r="D31" s="1023">
        <f t="shared" si="0"/>
        <v>0</v>
      </c>
    </row>
    <row r="32" spans="1:4" ht="12" customHeight="1">
      <c r="A32" s="199" t="s">
        <v>243</v>
      </c>
      <c r="B32" s="201">
        <f>IF(B5=1,B3+B4,0)</f>
        <v>0</v>
      </c>
      <c r="C32" s="835"/>
      <c r="D32" s="1023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88" t="s">
        <v>258</v>
      </c>
      <c r="B1" s="1274"/>
      <c r="C1" s="1274"/>
      <c r="D1" s="1274"/>
    </row>
    <row r="2" spans="1:4">
      <c r="A2" s="108" t="s">
        <v>10</v>
      </c>
      <c r="B2" s="827">
        <v>2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3</v>
      </c>
      <c r="C4" s="1191" t="s">
        <v>30</v>
      </c>
      <c r="D4" s="1192"/>
    </row>
    <row r="5" spans="1:4" ht="26.25" customHeight="1">
      <c r="A5" s="203" t="s">
        <v>256</v>
      </c>
      <c r="B5" s="830">
        <v>1</v>
      </c>
      <c r="C5" s="1332" t="s">
        <v>259</v>
      </c>
      <c r="D5" s="1261"/>
    </row>
    <row r="6" spans="1:4">
      <c r="A6" s="203" t="s">
        <v>828</v>
      </c>
      <c r="B6" s="830">
        <v>1</v>
      </c>
      <c r="C6" s="209" t="s">
        <v>260</v>
      </c>
      <c r="D6" s="207" t="s">
        <v>261</v>
      </c>
    </row>
    <row r="7" spans="1:4">
      <c r="A7" s="203" t="s">
        <v>282</v>
      </c>
      <c r="B7" s="830">
        <v>1</v>
      </c>
      <c r="C7" s="214" t="s">
        <v>283</v>
      </c>
      <c r="D7" s="212" t="s">
        <v>284</v>
      </c>
    </row>
    <row r="8" spans="1:4">
      <c r="A8" s="203" t="s">
        <v>123</v>
      </c>
      <c r="B8" s="830">
        <v>0</v>
      </c>
      <c r="C8" s="213" t="s">
        <v>254</v>
      </c>
      <c r="D8" s="212" t="s">
        <v>286</v>
      </c>
    </row>
    <row r="9" spans="1:4">
      <c r="A9" s="202" t="s">
        <v>274</v>
      </c>
      <c r="B9" s="829">
        <v>3</v>
      </c>
      <c r="C9" s="1260" t="s">
        <v>30</v>
      </c>
      <c r="D9" s="1205"/>
    </row>
    <row r="10" spans="1:4">
      <c r="A10" s="202" t="s">
        <v>276</v>
      </c>
      <c r="B10" s="829">
        <v>2</v>
      </c>
      <c r="C10" s="1260" t="s">
        <v>30</v>
      </c>
      <c r="D10" s="1205"/>
    </row>
    <row r="11" spans="1:4">
      <c r="A11" s="210" t="s">
        <v>273</v>
      </c>
      <c r="B11" s="829">
        <v>1</v>
      </c>
      <c r="C11" s="1260" t="s">
        <v>30</v>
      </c>
      <c r="D11" s="1205"/>
    </row>
    <row r="12" spans="1:4" ht="12" thickBot="1">
      <c r="A12" s="1268"/>
      <c r="B12" s="1268"/>
      <c r="C12" s="1268"/>
      <c r="D12" s="1268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262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313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263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264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265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266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829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830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267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285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268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269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270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271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272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275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144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277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123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278</v>
      </c>
      <c r="B33" s="201">
        <f>B11</f>
        <v>1</v>
      </c>
      <c r="C33" s="835"/>
      <c r="D33" s="206">
        <f t="shared" si="0"/>
        <v>0</v>
      </c>
    </row>
    <row r="34" spans="1:4" ht="15">
      <c r="A34" s="1337" t="s">
        <v>240</v>
      </c>
      <c r="B34" s="1338"/>
      <c r="C34" s="1338"/>
      <c r="D34" s="1339"/>
    </row>
    <row r="35" spans="1:4" ht="15">
      <c r="A35" s="199" t="s">
        <v>232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88" t="s">
        <v>775</v>
      </c>
      <c r="B1" s="1274"/>
      <c r="C1" s="1274"/>
      <c r="D1" s="1274"/>
    </row>
    <row r="2" spans="1:4">
      <c r="A2" s="108" t="s">
        <v>10</v>
      </c>
      <c r="B2" s="827">
        <v>1</v>
      </c>
      <c r="C2" s="1189" t="s">
        <v>124</v>
      </c>
      <c r="D2" s="1132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1</v>
      </c>
      <c r="C4" s="1191" t="s">
        <v>30</v>
      </c>
      <c r="D4" s="1192"/>
    </row>
    <row r="5" spans="1:4">
      <c r="A5" s="813" t="s">
        <v>828</v>
      </c>
      <c r="B5" s="830">
        <v>1</v>
      </c>
      <c r="C5" s="784" t="s">
        <v>260</v>
      </c>
      <c r="D5" s="777" t="s">
        <v>261</v>
      </c>
    </row>
    <row r="6" spans="1:4">
      <c r="A6" s="813" t="s">
        <v>282</v>
      </c>
      <c r="B6" s="830">
        <v>0</v>
      </c>
      <c r="C6" s="784" t="s">
        <v>283</v>
      </c>
      <c r="D6" s="777" t="s">
        <v>284</v>
      </c>
    </row>
    <row r="7" spans="1:4">
      <c r="A7" s="813" t="s">
        <v>123</v>
      </c>
      <c r="B7" s="830">
        <v>0</v>
      </c>
      <c r="C7" s="781" t="s">
        <v>254</v>
      </c>
      <c r="D7" s="777" t="s">
        <v>286</v>
      </c>
    </row>
    <row r="8" spans="1:4" ht="33.75" customHeight="1">
      <c r="A8" s="813" t="s">
        <v>587</v>
      </c>
      <c r="B8" s="830">
        <v>0</v>
      </c>
      <c r="C8" s="1332" t="s">
        <v>789</v>
      </c>
      <c r="D8" s="1340"/>
    </row>
    <row r="9" spans="1:4">
      <c r="A9" s="814" t="s">
        <v>276</v>
      </c>
      <c r="B9" s="829">
        <v>0</v>
      </c>
      <c r="C9" s="1260" t="s">
        <v>30</v>
      </c>
      <c r="D9" s="1261"/>
    </row>
    <row r="10" spans="1:4" ht="12" thickBot="1">
      <c r="A10" s="110" t="s">
        <v>273</v>
      </c>
      <c r="B10" s="828">
        <v>0</v>
      </c>
      <c r="C10" s="1258" t="s">
        <v>30</v>
      </c>
      <c r="D10" s="1259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776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778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779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780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140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141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781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782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783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264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784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785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831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830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777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285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268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787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786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788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144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687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123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337" t="s">
        <v>240</v>
      </c>
      <c r="B36" s="1338"/>
      <c r="C36" s="1338"/>
      <c r="D36" s="1339"/>
    </row>
    <row r="37" spans="1:4" ht="15">
      <c r="A37" s="416" t="s">
        <v>487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484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485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486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492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1"/>
  <sheetViews>
    <sheetView zoomScaleNormal="100" workbookViewId="0">
      <pane ySplit="29" topLeftCell="A30" activePane="bottomLeft" state="frozen"/>
      <selection pane="bottomLeft" activeCell="F41" sqref="F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342"/>
      <c r="C1" s="1343"/>
      <c r="D1" s="1343"/>
      <c r="E1" s="1343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344" t="s">
        <v>593</v>
      </c>
      <c r="E2" s="1345"/>
      <c r="F2" s="1346"/>
      <c r="G2" s="408"/>
      <c r="H2" s="409" t="s">
        <v>483</v>
      </c>
      <c r="I2" s="410" t="s">
        <v>602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347"/>
      <c r="E3" s="1348"/>
      <c r="F3" s="1349"/>
      <c r="G3" s="408"/>
      <c r="H3" s="571" t="s">
        <v>371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518</v>
      </c>
      <c r="C4" s="460">
        <v>1</v>
      </c>
      <c r="D4" s="1345" t="s">
        <v>594</v>
      </c>
      <c r="E4" s="1345"/>
      <c r="F4" s="1346"/>
      <c r="G4" s="408"/>
      <c r="H4" s="416" t="s">
        <v>372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390</v>
      </c>
      <c r="C5" s="461"/>
      <c r="D5" s="1350"/>
      <c r="E5" s="1350"/>
      <c r="F5" s="1351"/>
      <c r="G5" s="408"/>
      <c r="H5" s="416" t="s">
        <v>373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391</v>
      </c>
      <c r="C6" s="461">
        <v>0</v>
      </c>
      <c r="D6" s="1350"/>
      <c r="E6" s="1350"/>
      <c r="F6" s="1351"/>
      <c r="G6" s="408"/>
      <c r="H6" s="418" t="s">
        <v>375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544</v>
      </c>
      <c r="C7" s="462">
        <v>0</v>
      </c>
      <c r="D7" s="1350"/>
      <c r="E7" s="1350"/>
      <c r="F7" s="1351"/>
      <c r="G7" s="408"/>
      <c r="H7" s="416" t="s">
        <v>487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545</v>
      </c>
      <c r="C8" s="461">
        <v>0</v>
      </c>
      <c r="D8" s="1350"/>
      <c r="E8" s="1350"/>
      <c r="F8" s="1351"/>
      <c r="G8" s="408"/>
      <c r="H8" s="418" t="s">
        <v>484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546</v>
      </c>
      <c r="C9" s="463">
        <v>0</v>
      </c>
      <c r="D9" s="1348"/>
      <c r="E9" s="1348"/>
      <c r="F9" s="1349"/>
      <c r="G9" s="408"/>
      <c r="H9" s="418" t="s">
        <v>485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519</v>
      </c>
      <c r="C10" s="464">
        <v>0</v>
      </c>
      <c r="D10" s="420" t="s">
        <v>286</v>
      </c>
      <c r="E10" s="421" t="s">
        <v>254</v>
      </c>
      <c r="F10" s="1352" t="s">
        <v>594</v>
      </c>
      <c r="G10" s="408"/>
      <c r="H10" s="418" t="s">
        <v>486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488</v>
      </c>
      <c r="C11" s="462"/>
      <c r="D11" s="422" t="s">
        <v>286</v>
      </c>
      <c r="E11" s="423" t="s">
        <v>254</v>
      </c>
      <c r="F11" s="1353"/>
      <c r="G11" s="408"/>
      <c r="H11" s="418" t="s">
        <v>492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489</v>
      </c>
      <c r="C12" s="461">
        <v>0</v>
      </c>
      <c r="D12" s="424" t="s">
        <v>286</v>
      </c>
      <c r="E12" s="425" t="s">
        <v>254</v>
      </c>
      <c r="F12" s="1353"/>
      <c r="G12" s="426"/>
      <c r="H12" s="418" t="s">
        <v>671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520</v>
      </c>
      <c r="C13" s="462">
        <v>1</v>
      </c>
      <c r="D13" s="422" t="s">
        <v>286</v>
      </c>
      <c r="E13" s="423" t="s">
        <v>254</v>
      </c>
      <c r="F13" s="1353"/>
      <c r="G13" s="408"/>
      <c r="H13" s="418" t="s">
        <v>516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490</v>
      </c>
      <c r="C14" s="462">
        <v>0</v>
      </c>
      <c r="D14" s="424" t="s">
        <v>286</v>
      </c>
      <c r="E14" s="425" t="s">
        <v>254</v>
      </c>
      <c r="F14" s="1353"/>
      <c r="G14" s="408"/>
      <c r="H14" s="418" t="s">
        <v>517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491</v>
      </c>
      <c r="C15" s="463">
        <v>0</v>
      </c>
      <c r="D15" s="427" t="s">
        <v>286</v>
      </c>
      <c r="E15" s="428" t="s">
        <v>254</v>
      </c>
      <c r="F15" s="1354"/>
      <c r="G15" s="426"/>
      <c r="H15" s="416" t="s">
        <v>378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587</v>
      </c>
      <c r="C16" s="465">
        <v>1</v>
      </c>
      <c r="D16" s="430" t="s">
        <v>617</v>
      </c>
      <c r="E16" s="428" t="s">
        <v>618</v>
      </c>
      <c r="F16" s="715" t="s">
        <v>619</v>
      </c>
      <c r="G16" s="426"/>
      <c r="H16" s="413" t="s">
        <v>380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529</v>
      </c>
      <c r="C17" s="465">
        <v>1</v>
      </c>
      <c r="D17" s="433" t="s">
        <v>286</v>
      </c>
      <c r="E17" s="716" t="s">
        <v>254</v>
      </c>
      <c r="F17" s="470" t="s">
        <v>666</v>
      </c>
      <c r="G17" s="408"/>
      <c r="H17" s="413" t="s">
        <v>381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530</v>
      </c>
      <c r="C18" s="466">
        <v>1</v>
      </c>
      <c r="D18" s="427" t="s">
        <v>286</v>
      </c>
      <c r="E18" s="428" t="s">
        <v>254</v>
      </c>
      <c r="F18" s="468"/>
      <c r="G18" s="408"/>
      <c r="H18" s="413" t="s">
        <v>382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392</v>
      </c>
      <c r="C19" s="465">
        <v>1</v>
      </c>
      <c r="D19" s="432" t="s">
        <v>393</v>
      </c>
      <c r="E19" s="716" t="s">
        <v>394</v>
      </c>
      <c r="F19" s="469"/>
      <c r="G19" s="435"/>
      <c r="H19" s="416" t="s">
        <v>383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720</v>
      </c>
      <c r="C20" s="466">
        <v>0</v>
      </c>
      <c r="D20" s="427" t="s">
        <v>286</v>
      </c>
      <c r="E20" s="428" t="s">
        <v>254</v>
      </c>
      <c r="F20" s="468"/>
      <c r="G20" s="435"/>
      <c r="H20" s="413" t="s">
        <v>387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357</v>
      </c>
      <c r="C21" s="465">
        <v>2</v>
      </c>
      <c r="D21" s="433" t="s">
        <v>620</v>
      </c>
      <c r="E21" s="716" t="s">
        <v>621</v>
      </c>
      <c r="F21" s="436" t="s">
        <v>622</v>
      </c>
      <c r="G21" s="408"/>
      <c r="H21" s="437" t="s">
        <v>388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360</v>
      </c>
      <c r="C22" s="464">
        <v>0</v>
      </c>
      <c r="D22" s="420" t="s">
        <v>286</v>
      </c>
      <c r="E22" s="421" t="s">
        <v>254</v>
      </c>
      <c r="F22" s="1352" t="s">
        <v>595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361</v>
      </c>
      <c r="C23" s="461">
        <v>0</v>
      </c>
      <c r="D23" s="424" t="s">
        <v>286</v>
      </c>
      <c r="E23" s="425" t="s">
        <v>254</v>
      </c>
      <c r="F23" s="1353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465</v>
      </c>
      <c r="C24" s="461">
        <v>0</v>
      </c>
      <c r="D24" s="424" t="s">
        <v>286</v>
      </c>
      <c r="E24" s="425" t="s">
        <v>254</v>
      </c>
      <c r="F24" s="1353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521</v>
      </c>
      <c r="C25" s="513">
        <v>0</v>
      </c>
      <c r="D25" s="626" t="s">
        <v>286</v>
      </c>
      <c r="E25" s="516" t="s">
        <v>254</v>
      </c>
      <c r="F25" s="1353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146</v>
      </c>
      <c r="C26" s="464">
        <v>0</v>
      </c>
      <c r="D26" s="1355" t="s">
        <v>684</v>
      </c>
      <c r="E26" s="1356"/>
      <c r="F26" s="1357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145</v>
      </c>
      <c r="C27" s="461">
        <v>0</v>
      </c>
      <c r="D27" s="1358" t="s">
        <v>685</v>
      </c>
      <c r="E27" s="1359"/>
      <c r="F27" s="1360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142</v>
      </c>
      <c r="C28" s="463">
        <v>0</v>
      </c>
      <c r="D28" s="1361" t="s">
        <v>686</v>
      </c>
      <c r="E28" s="1362"/>
      <c r="F28" s="1363"/>
      <c r="G28" s="408"/>
      <c r="H28" s="443"/>
      <c r="I28" s="439"/>
      <c r="J28" s="439"/>
      <c r="K28" s="439"/>
    </row>
    <row r="29" spans="1:13" ht="12.75" customHeight="1" thickBot="1">
      <c r="A29" s="405"/>
      <c r="B29" s="1341"/>
      <c r="C29" s="1341"/>
      <c r="D29" s="1341"/>
      <c r="E29" s="1341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603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561</v>
      </c>
      <c r="C32" s="342">
        <f>IF(C17=0,C25*(C4+C5+C6+C7+C8+C9),0)</f>
        <v>0</v>
      </c>
      <c r="D32" s="396"/>
      <c r="E32" s="344">
        <f t="shared" ref="E32:E94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604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116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721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478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446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446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547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448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548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447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447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605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605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606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607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608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609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609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607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607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610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611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612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613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473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362</v>
      </c>
      <c r="C58" s="347">
        <f>C23*2*C2*SUM(C4:C9)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117</v>
      </c>
      <c r="C59" s="347">
        <f>C2*(C22+C24)*SUM(C4:C9)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479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614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466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363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364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449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523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450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615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616</v>
      </c>
      <c r="C69" s="347">
        <f>IF(C21=2,C18*SUM(C4:C9),0)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470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366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367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368</v>
      </c>
      <c r="C73" s="347">
        <f>C17*((C3*2*SUM(C4:C9))+C2+0.3)</f>
        <v>0.3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524</v>
      </c>
      <c r="C74" s="347">
        <f>IF(C19=0,C17*2*SUM(C4:C9),0)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525</v>
      </c>
      <c r="C75" s="347">
        <f>IF(C19=1,C17*2*SUM(C4:C9),0)</f>
        <v>2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370</v>
      </c>
      <c r="C76" s="347">
        <f>C17*2*SUM(C4:C9)</f>
        <v>2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647</v>
      </c>
      <c r="C77" s="347">
        <f>C17*2*SUM(C4:C9)</f>
        <v>2</v>
      </c>
      <c r="D77" s="353"/>
      <c r="E77" s="344">
        <f t="shared" ref="E77" si="2">C77*D77</f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451</v>
      </c>
      <c r="C78" s="347">
        <f>C17*2*SUM(C4:C9)</f>
        <v>2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452</v>
      </c>
      <c r="C79" s="347">
        <f>C17*2*SUM(C4:C9)</f>
        <v>2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826</v>
      </c>
      <c r="C80" s="347">
        <f>IF(C18=0,C4+C5+C6+C7+C8+C9,0)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1" t="s">
        <v>335</v>
      </c>
      <c r="C81" s="347">
        <f>C17*SUM(C4:C9)</f>
        <v>1</v>
      </c>
      <c r="D81" s="353"/>
      <c r="E81" s="344">
        <f t="shared" si="1"/>
        <v>0</v>
      </c>
      <c r="F81" s="345"/>
      <c r="G81" s="345"/>
      <c r="H81" s="439"/>
      <c r="I81" s="439"/>
      <c r="J81" s="439"/>
      <c r="K81" s="439"/>
    </row>
    <row r="82" spans="1:11">
      <c r="A82" s="405"/>
      <c r="B82" s="452" t="s">
        <v>453</v>
      </c>
      <c r="C82" s="399">
        <f>C4+C5+C7+C8</f>
        <v>1</v>
      </c>
      <c r="D82" s="353"/>
      <c r="E82" s="400">
        <f t="shared" si="1"/>
        <v>0</v>
      </c>
      <c r="F82" s="345"/>
      <c r="G82" s="345"/>
      <c r="H82" s="453"/>
      <c r="I82" s="453"/>
      <c r="J82" s="439"/>
      <c r="K82" s="439"/>
    </row>
    <row r="83" spans="1:11">
      <c r="A83" s="405"/>
      <c r="B83" s="452" t="s">
        <v>374</v>
      </c>
      <c r="C83" s="399">
        <f>(C10+C11)*(C4+C5+C7+C8)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493</v>
      </c>
      <c r="C84" s="399">
        <f>C11*(C5+C8)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376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>
      <c r="A86" s="405"/>
      <c r="B86" s="452" t="s">
        <v>377</v>
      </c>
      <c r="C86" s="399">
        <f>C12*(C6+C9)</f>
        <v>0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 hidden="1">
      <c r="A87" s="405"/>
      <c r="B87" s="452" t="s">
        <v>526</v>
      </c>
      <c r="C87" s="399">
        <f>C4+C7</f>
        <v>1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>
      <c r="A88" s="405"/>
      <c r="B88" s="452" t="s">
        <v>379</v>
      </c>
      <c r="C88" s="399">
        <f>C14*(C8+C5)</f>
        <v>0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527</v>
      </c>
      <c r="C89" s="399">
        <f>(C14+C13)*(C4+C5+C7+C8)</f>
        <v>1</v>
      </c>
      <c r="D89" s="353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452" t="s">
        <v>385</v>
      </c>
      <c r="C90" s="399">
        <f>C15*(C6+C9)</f>
        <v>0</v>
      </c>
      <c r="D90" s="40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144</v>
      </c>
      <c r="C91" s="399">
        <f>C27*SUM(C4:C9)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152" t="s">
        <v>147</v>
      </c>
      <c r="C92" s="399">
        <f>C26*SUM(C4:C9)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>
      <c r="A93" s="405"/>
      <c r="B93" s="23" t="s">
        <v>687</v>
      </c>
      <c r="C93" s="399">
        <f>C28*SUM(C4:C9)</f>
        <v>0</v>
      </c>
      <c r="D93" s="721"/>
      <c r="E93" s="400">
        <f t="shared" si="1"/>
        <v>0</v>
      </c>
      <c r="F93" s="345"/>
      <c r="G93" s="345"/>
      <c r="H93" s="439"/>
      <c r="I93" s="439"/>
      <c r="J93" s="439"/>
      <c r="K93" s="439"/>
    </row>
    <row r="94" spans="1:11" ht="11.25" customHeight="1" thickBot="1">
      <c r="A94" s="405"/>
      <c r="B94" s="722" t="s">
        <v>386</v>
      </c>
      <c r="C94" s="402">
        <f>C15*(C6+C9)</f>
        <v>0</v>
      </c>
      <c r="D94" s="403"/>
      <c r="E94" s="404">
        <f t="shared" si="1"/>
        <v>0</v>
      </c>
      <c r="F94" s="345"/>
      <c r="G94" s="457"/>
      <c r="H94" s="439"/>
      <c r="I94" s="439"/>
      <c r="J94" s="439"/>
      <c r="K94" s="439"/>
    </row>
    <row r="95" spans="1:11" ht="11.25" customHeight="1" thickBot="1">
      <c r="A95" s="405"/>
      <c r="B95" s="439"/>
      <c r="C95" s="439"/>
      <c r="D95" s="455" t="s">
        <v>9</v>
      </c>
      <c r="E95" s="456">
        <f>SUMIF(E31:E94,"&gt;0",E31:E94)</f>
        <v>0</v>
      </c>
      <c r="F95" s="457"/>
      <c r="G95" s="439"/>
      <c r="H95" s="439"/>
      <c r="I95" s="439"/>
      <c r="J95" s="439"/>
      <c r="K95" s="439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41"/>
    </row>
    <row r="97" spans="1:11" ht="11.25" customHeight="1">
      <c r="A97" s="405"/>
      <c r="B97" s="439"/>
      <c r="C97" s="439"/>
      <c r="D97" s="439"/>
      <c r="E97" s="439"/>
      <c r="F97" s="439"/>
      <c r="G97" s="439"/>
      <c r="H97" s="439"/>
      <c r="I97" s="439"/>
      <c r="J97" s="439"/>
      <c r="K97" s="439"/>
    </row>
    <row r="98" spans="1:11" ht="11.25" customHeight="1">
      <c r="A98" s="405"/>
      <c r="B98" s="439"/>
      <c r="C98" s="439"/>
      <c r="D98" s="439"/>
      <c r="E98" s="439"/>
      <c r="F98" s="439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1.25" customHeight="1">
      <c r="A105" s="405"/>
      <c r="B105" s="405"/>
      <c r="C105" s="405"/>
      <c r="D105" s="405"/>
      <c r="E105" s="405"/>
      <c r="F105" s="405"/>
      <c r="G105" s="405"/>
      <c r="H105" s="405"/>
      <c r="I105" s="405"/>
      <c r="J105" s="405"/>
      <c r="K105" s="405"/>
    </row>
    <row r="106" spans="1:11" ht="10.5" customHeight="1">
      <c r="B106" s="405"/>
      <c r="C106" s="405"/>
      <c r="D106" s="405"/>
      <c r="E106" s="405"/>
      <c r="F106" s="405"/>
    </row>
    <row r="107" spans="1:11" ht="11.25" customHeight="1"/>
    <row r="108" spans="1:11" ht="10.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2" customHeight="1"/>
  </sheetData>
  <sheetProtection algorithmName="SHA-512" hashValue="ZsbDjkk5GLBvYJ1qihYPd5keQw/KccuU4docG6cRuhyxV2+5iN1kFrkMqlazk9FHhKvMxWlu6iTxWLHU6T7A6g==" saltValue="/7tBirGh5YK02puiHhOWzA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4" priority="17" operator="equal">
      <formula>"ДА"</formula>
    </cfRule>
    <cfRule type="cellIs" dxfId="753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31:E37 C44:E94">
    <cfRule type="cellIs" dxfId="752" priority="10" operator="greaterThan">
      <formula>0</formula>
    </cfRule>
  </conditionalFormatting>
  <conditionalFormatting sqref="E95">
    <cfRule type="cellIs" dxfId="751" priority="8" operator="greaterThan">
      <formula>0</formula>
    </cfRule>
    <cfRule type="cellIs" dxfId="750" priority="9" operator="greaterThan">
      <formula>0</formula>
    </cfRule>
  </conditionalFormatting>
  <conditionalFormatting sqref="J3:K21">
    <cfRule type="cellIs" dxfId="749" priority="7" operator="greaterThan">
      <formula>0</formula>
    </cfRule>
  </conditionalFormatting>
  <conditionalFormatting sqref="C2:C19 C21:C28">
    <cfRule type="cellIs" dxfId="748" priority="6" operator="greaterThan">
      <formula>0</formula>
    </cfRule>
  </conditionalFormatting>
  <conditionalFormatting sqref="K3:K21">
    <cfRule type="cellIs" dxfId="747" priority="5" operator="greaterThan">
      <formula>0</formula>
    </cfRule>
  </conditionalFormatting>
  <conditionalFormatting sqref="C38:E38">
    <cfRule type="cellIs" dxfId="746" priority="4" operator="greaterThan">
      <formula>0</formula>
    </cfRule>
  </conditionalFormatting>
  <conditionalFormatting sqref="C43:E43">
    <cfRule type="cellIs" dxfId="745" priority="3" operator="greaterThan">
      <formula>0</formula>
    </cfRule>
  </conditionalFormatting>
  <conditionalFormatting sqref="C91:C93">
    <cfRule type="cellIs" dxfId="744" priority="2" operator="greaterThan">
      <formula>0</formula>
    </cfRule>
  </conditionalFormatting>
  <conditionalFormatting sqref="C20">
    <cfRule type="cellIs" dxfId="74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  <ignoredError sqref="C77:C78 C91:C93 C81 C79 C75:C76 C69:C74 C58:C59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342"/>
      <c r="C1" s="1343"/>
      <c r="D1" s="1343"/>
      <c r="E1" s="1343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344" t="s">
        <v>593</v>
      </c>
      <c r="E2" s="1345"/>
      <c r="F2" s="1346"/>
      <c r="G2" s="785"/>
      <c r="H2" s="409" t="s">
        <v>483</v>
      </c>
      <c r="I2" s="410" t="s">
        <v>602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347"/>
      <c r="E3" s="1348"/>
      <c r="F3" s="1349"/>
      <c r="G3" s="785"/>
      <c r="H3" s="571" t="s">
        <v>371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518</v>
      </c>
      <c r="C4" s="460">
        <v>0</v>
      </c>
      <c r="D4" s="1344" t="s">
        <v>594</v>
      </c>
      <c r="E4" s="1345"/>
      <c r="F4" s="1346"/>
      <c r="G4" s="785"/>
      <c r="H4" s="416" t="s">
        <v>372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390</v>
      </c>
      <c r="C5" s="461">
        <v>0</v>
      </c>
      <c r="D5" s="1347"/>
      <c r="E5" s="1348"/>
      <c r="F5" s="1349"/>
      <c r="G5" s="785"/>
      <c r="H5" s="416" t="s">
        <v>373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519</v>
      </c>
      <c r="C6" s="464">
        <v>0</v>
      </c>
      <c r="D6" s="420" t="s">
        <v>286</v>
      </c>
      <c r="E6" s="421" t="s">
        <v>254</v>
      </c>
      <c r="F6" s="1352" t="s">
        <v>594</v>
      </c>
      <c r="G6" s="785"/>
      <c r="H6" s="418" t="s">
        <v>375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488</v>
      </c>
      <c r="C7" s="462">
        <v>0</v>
      </c>
      <c r="D7" s="422" t="s">
        <v>286</v>
      </c>
      <c r="E7" s="423" t="s">
        <v>254</v>
      </c>
      <c r="F7" s="1353"/>
      <c r="G7" s="785"/>
      <c r="H7" s="418" t="s">
        <v>671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520</v>
      </c>
      <c r="C8" s="462">
        <v>0</v>
      </c>
      <c r="D8" s="422" t="s">
        <v>286</v>
      </c>
      <c r="E8" s="423" t="s">
        <v>254</v>
      </c>
      <c r="F8" s="1353"/>
      <c r="G8" s="785"/>
      <c r="H8" s="418" t="s">
        <v>516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490</v>
      </c>
      <c r="C9" s="466">
        <v>0</v>
      </c>
      <c r="D9" s="487" t="s">
        <v>286</v>
      </c>
      <c r="E9" s="488" t="s">
        <v>254</v>
      </c>
      <c r="F9" s="1354"/>
      <c r="G9" s="785"/>
      <c r="H9" s="418" t="s">
        <v>517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587</v>
      </c>
      <c r="C10" s="466">
        <v>0</v>
      </c>
      <c r="D10" s="430" t="s">
        <v>617</v>
      </c>
      <c r="E10" s="428" t="s">
        <v>618</v>
      </c>
      <c r="F10" s="788" t="s">
        <v>619</v>
      </c>
      <c r="G10" s="785"/>
      <c r="H10" s="416" t="s">
        <v>378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392</v>
      </c>
      <c r="C11" s="465">
        <v>0</v>
      </c>
      <c r="D11" s="432" t="s">
        <v>393</v>
      </c>
      <c r="E11" s="789" t="s">
        <v>394</v>
      </c>
      <c r="F11" s="469"/>
      <c r="G11" s="785"/>
      <c r="H11" s="413" t="s">
        <v>380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360</v>
      </c>
      <c r="C12" s="464">
        <v>0</v>
      </c>
      <c r="D12" s="420" t="s">
        <v>286</v>
      </c>
      <c r="E12" s="421" t="s">
        <v>254</v>
      </c>
      <c r="F12" s="1352" t="s">
        <v>595</v>
      </c>
      <c r="G12" s="426"/>
      <c r="H12" s="817" t="s">
        <v>381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361</v>
      </c>
      <c r="C13" s="461">
        <v>0</v>
      </c>
      <c r="D13" s="424" t="s">
        <v>286</v>
      </c>
      <c r="E13" s="425" t="s">
        <v>254</v>
      </c>
      <c r="F13" s="1353"/>
      <c r="G13" s="785"/>
      <c r="H13" s="266"/>
      <c r="L13" s="266"/>
    </row>
    <row r="14" spans="1:12">
      <c r="A14" s="405"/>
      <c r="B14" s="417" t="s">
        <v>465</v>
      </c>
      <c r="C14" s="461">
        <v>0</v>
      </c>
      <c r="D14" s="424" t="s">
        <v>286</v>
      </c>
      <c r="E14" s="425" t="s">
        <v>254</v>
      </c>
      <c r="F14" s="1353"/>
      <c r="G14" s="785"/>
      <c r="H14" s="266"/>
      <c r="L14" s="266"/>
    </row>
    <row r="15" spans="1:12" ht="12" thickBot="1">
      <c r="A15" s="405"/>
      <c r="B15" s="514" t="s">
        <v>521</v>
      </c>
      <c r="C15" s="513">
        <v>0</v>
      </c>
      <c r="D15" s="626" t="s">
        <v>286</v>
      </c>
      <c r="E15" s="516" t="s">
        <v>254</v>
      </c>
      <c r="F15" s="1353"/>
      <c r="G15" s="426"/>
      <c r="H15" s="266"/>
      <c r="L15" s="266"/>
    </row>
    <row r="16" spans="1:12">
      <c r="A16" s="405"/>
      <c r="B16" s="407" t="s">
        <v>146</v>
      </c>
      <c r="C16" s="464">
        <v>0</v>
      </c>
      <c r="D16" s="1355" t="s">
        <v>684</v>
      </c>
      <c r="E16" s="1356"/>
      <c r="F16" s="1357"/>
      <c r="G16" s="426"/>
      <c r="H16" s="266"/>
      <c r="L16" s="266"/>
    </row>
    <row r="17" spans="1:12">
      <c r="A17" s="405"/>
      <c r="B17" s="417" t="s">
        <v>145</v>
      </c>
      <c r="C17" s="461">
        <v>0</v>
      </c>
      <c r="D17" s="1358" t="s">
        <v>685</v>
      </c>
      <c r="E17" s="1359"/>
      <c r="F17" s="1360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142</v>
      </c>
      <c r="C18" s="463">
        <v>0</v>
      </c>
      <c r="D18" s="1361" t="s">
        <v>686</v>
      </c>
      <c r="E18" s="1362"/>
      <c r="F18" s="1363"/>
      <c r="G18" s="785"/>
      <c r="H18" s="439"/>
      <c r="I18" s="439"/>
      <c r="J18" s="439"/>
      <c r="K18" s="439"/>
    </row>
    <row r="19" spans="1:12" ht="12" thickBot="1">
      <c r="A19" s="405"/>
      <c r="B19" s="1341"/>
      <c r="C19" s="1341"/>
      <c r="D19" s="1341"/>
      <c r="E19" s="1341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603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561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116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790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473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362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117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479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614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466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363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364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523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450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366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826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453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374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493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526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379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527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144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147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687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2" priority="11" operator="equal">
      <formula>"ДА"</formula>
    </cfRule>
    <cfRule type="cellIs" dxfId="741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0" priority="10" operator="greaterThan">
      <formula>0</formula>
    </cfRule>
  </conditionalFormatting>
  <conditionalFormatting sqref="E46">
    <cfRule type="cellIs" dxfId="739" priority="8" operator="greaterThan">
      <formula>0</formula>
    </cfRule>
    <cfRule type="cellIs" dxfId="738" priority="9" operator="greaterThan">
      <formula>0</formula>
    </cfRule>
  </conditionalFormatting>
  <conditionalFormatting sqref="C2:C18">
    <cfRule type="cellIs" dxfId="737" priority="6" operator="greaterThan">
      <formula>0</formula>
    </cfRule>
  </conditionalFormatting>
  <conditionalFormatting sqref="C24:E24">
    <cfRule type="cellIs" dxfId="736" priority="3" operator="greaterThan">
      <formula>0</formula>
    </cfRule>
  </conditionalFormatting>
  <conditionalFormatting sqref="C43:C45">
    <cfRule type="cellIs" dxfId="735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342"/>
      <c r="C1" s="1343"/>
      <c r="D1" s="1343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344" t="s">
        <v>593</v>
      </c>
      <c r="E2" s="1345"/>
      <c r="F2" s="1346"/>
      <c r="G2" s="481"/>
      <c r="H2" s="409" t="s">
        <v>483</v>
      </c>
      <c r="I2" s="410" t="s">
        <v>602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347"/>
      <c r="E3" s="1348"/>
      <c r="F3" s="1349"/>
      <c r="G3" s="481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528</v>
      </c>
      <c r="C4" s="464">
        <v>0</v>
      </c>
      <c r="D4" s="1344" t="s">
        <v>595</v>
      </c>
      <c r="E4" s="1345"/>
      <c r="F4" s="1346"/>
      <c r="G4" s="483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395</v>
      </c>
      <c r="C5" s="462"/>
      <c r="D5" s="1364"/>
      <c r="E5" s="1350"/>
      <c r="F5" s="1351"/>
      <c r="G5" s="439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391</v>
      </c>
      <c r="C6" s="466">
        <v>0</v>
      </c>
      <c r="D6" s="1364"/>
      <c r="E6" s="1350"/>
      <c r="F6" s="1351"/>
      <c r="G6" s="48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519</v>
      </c>
      <c r="C7" s="464">
        <v>0</v>
      </c>
      <c r="D7" s="420" t="s">
        <v>286</v>
      </c>
      <c r="E7" s="421" t="s">
        <v>254</v>
      </c>
      <c r="F7" s="1352" t="s">
        <v>594</v>
      </c>
      <c r="G7" s="485"/>
      <c r="H7" s="416" t="s">
        <v>487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488</v>
      </c>
      <c r="C8" s="462"/>
      <c r="D8" s="424" t="s">
        <v>286</v>
      </c>
      <c r="E8" s="425" t="s">
        <v>254</v>
      </c>
      <c r="F8" s="1353"/>
      <c r="G8" s="439"/>
      <c r="H8" s="418" t="s">
        <v>484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489</v>
      </c>
      <c r="C9" s="461">
        <v>0</v>
      </c>
      <c r="D9" s="424" t="s">
        <v>286</v>
      </c>
      <c r="E9" s="424" t="s">
        <v>254</v>
      </c>
      <c r="F9" s="1353"/>
      <c r="G9" s="439"/>
      <c r="H9" s="418" t="s">
        <v>485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520</v>
      </c>
      <c r="C10" s="462">
        <v>0</v>
      </c>
      <c r="D10" s="422" t="s">
        <v>286</v>
      </c>
      <c r="E10" s="423" t="s">
        <v>254</v>
      </c>
      <c r="F10" s="1353"/>
      <c r="G10" s="439"/>
      <c r="H10" s="418" t="s">
        <v>486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490</v>
      </c>
      <c r="C11" s="462">
        <v>0</v>
      </c>
      <c r="D11" s="424" t="s">
        <v>286</v>
      </c>
      <c r="E11" s="425" t="s">
        <v>254</v>
      </c>
      <c r="F11" s="1353"/>
      <c r="G11" s="441"/>
      <c r="H11" s="418" t="s">
        <v>492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491</v>
      </c>
      <c r="C12" s="472">
        <v>0</v>
      </c>
      <c r="D12" s="491" t="s">
        <v>286</v>
      </c>
      <c r="E12" s="492" t="s">
        <v>254</v>
      </c>
      <c r="F12" s="1354"/>
      <c r="G12" s="493"/>
      <c r="H12" s="418" t="s">
        <v>624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587</v>
      </c>
      <c r="C13" s="465">
        <v>0</v>
      </c>
      <c r="D13" s="471" t="s">
        <v>617</v>
      </c>
      <c r="E13" s="434" t="s">
        <v>618</v>
      </c>
      <c r="F13" s="436" t="s">
        <v>619</v>
      </c>
      <c r="G13" s="493"/>
      <c r="H13" s="418" t="s">
        <v>516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720</v>
      </c>
      <c r="C14" s="465">
        <v>0</v>
      </c>
      <c r="D14" s="491" t="s">
        <v>286</v>
      </c>
      <c r="E14" s="492" t="s">
        <v>254</v>
      </c>
      <c r="F14" s="621"/>
      <c r="G14" s="439"/>
      <c r="H14" s="418" t="s">
        <v>517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357</v>
      </c>
      <c r="C15" s="465">
        <v>0</v>
      </c>
      <c r="D15" s="433" t="s">
        <v>620</v>
      </c>
      <c r="E15" s="434" t="s">
        <v>621</v>
      </c>
      <c r="F15" s="621"/>
      <c r="G15" s="439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396</v>
      </c>
      <c r="C16" s="464">
        <v>0</v>
      </c>
      <c r="D16" s="424" t="s">
        <v>286</v>
      </c>
      <c r="E16" s="425" t="s">
        <v>254</v>
      </c>
      <c r="F16" s="1365" t="s">
        <v>595</v>
      </c>
      <c r="G16" s="43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397</v>
      </c>
      <c r="C17" s="463">
        <v>0</v>
      </c>
      <c r="D17" s="487" t="s">
        <v>286</v>
      </c>
      <c r="E17" s="488" t="s">
        <v>254</v>
      </c>
      <c r="F17" s="1366"/>
      <c r="G17" s="439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146</v>
      </c>
      <c r="C18" s="464">
        <v>0</v>
      </c>
      <c r="D18" s="1355" t="s">
        <v>684</v>
      </c>
      <c r="E18" s="1356"/>
      <c r="F18" s="1357"/>
      <c r="G18" s="439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145</v>
      </c>
      <c r="C19" s="461">
        <v>0</v>
      </c>
      <c r="D19" s="1358" t="s">
        <v>685</v>
      </c>
      <c r="E19" s="1359"/>
      <c r="F19" s="1360"/>
      <c r="G19" s="439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142</v>
      </c>
      <c r="C20" s="463">
        <v>0</v>
      </c>
      <c r="D20" s="1361" t="s">
        <v>686</v>
      </c>
      <c r="E20" s="1362"/>
      <c r="F20" s="1363"/>
      <c r="G20" s="439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398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399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478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721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446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447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625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626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476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473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400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401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523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450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449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365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402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366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367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479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453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374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494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376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377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379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527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526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385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144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147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687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386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4" priority="11" operator="equal">
      <formula>"ДА"</formula>
    </cfRule>
    <cfRule type="cellIs" dxfId="733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2" priority="14" operator="greaterThan">
      <formula>0</formula>
    </cfRule>
  </conditionalFormatting>
  <conditionalFormatting sqref="C13">
    <cfRule type="cellIs" dxfId="731" priority="10" operator="greaterThan">
      <formula>0</formula>
    </cfRule>
  </conditionalFormatting>
  <conditionalFormatting sqref="C2:C13 C15:C17">
    <cfRule type="cellIs" dxfId="730" priority="9" operator="greaterThan">
      <formula>0</formula>
    </cfRule>
  </conditionalFormatting>
  <conditionalFormatting sqref="C57:E57 C25:E53">
    <cfRule type="cellIs" dxfId="729" priority="8" operator="greaterThan">
      <formula>0</formula>
    </cfRule>
  </conditionalFormatting>
  <conditionalFormatting sqref="E58">
    <cfRule type="cellIs" dxfId="728" priority="5" operator="greaterThan">
      <formula>0</formula>
    </cfRule>
    <cfRule type="cellIs" dxfId="727" priority="6" operator="greaterThan">
      <formula>0</formula>
    </cfRule>
    <cfRule type="cellIs" dxfId="726" priority="7" operator="greaterThan">
      <formula>0</formula>
    </cfRule>
  </conditionalFormatting>
  <conditionalFormatting sqref="C18:C20">
    <cfRule type="cellIs" dxfId="725" priority="4" operator="greaterThan">
      <formula>0</formula>
    </cfRule>
  </conditionalFormatting>
  <conditionalFormatting sqref="C54:C56">
    <cfRule type="cellIs" dxfId="724" priority="2" operator="greaterThan">
      <formula>0</formula>
    </cfRule>
  </conditionalFormatting>
  <conditionalFormatting sqref="C54:E56">
    <cfRule type="cellIs" dxfId="723" priority="3" operator="greaterThan">
      <formula>0</formula>
    </cfRule>
  </conditionalFormatting>
  <conditionalFormatting sqref="C14">
    <cfRule type="cellIs" dxfId="7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tabSelected="1" workbookViewId="0">
      <pane ySplit="22" topLeftCell="A23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342"/>
      <c r="C1" s="1343"/>
      <c r="D1" s="1343"/>
      <c r="E1" s="1342"/>
      <c r="F1" s="1343"/>
      <c r="G1" s="1343"/>
      <c r="H1" s="1342"/>
      <c r="I1" s="1343"/>
      <c r="J1" s="1343"/>
      <c r="K1" s="1342"/>
      <c r="L1" s="1343"/>
      <c r="M1" s="1343"/>
      <c r="N1" s="1273"/>
      <c r="O1" s="1274"/>
      <c r="P1" s="1274"/>
    </row>
    <row r="2" spans="1:16" ht="11.25" customHeight="1" thickBot="1">
      <c r="A2" s="405"/>
      <c r="B2" s="407" t="s">
        <v>10</v>
      </c>
      <c r="C2" s="458">
        <v>0</v>
      </c>
      <c r="D2" s="1344" t="s">
        <v>593</v>
      </c>
      <c r="E2" s="1345"/>
      <c r="F2" s="1346"/>
      <c r="G2" s="484"/>
      <c r="H2" s="409" t="s">
        <v>483</v>
      </c>
      <c r="I2" s="410" t="s">
        <v>602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528</v>
      </c>
      <c r="C4" s="462">
        <v>0</v>
      </c>
      <c r="D4" s="1344" t="s">
        <v>595</v>
      </c>
      <c r="E4" s="1345"/>
      <c r="F4" s="1367"/>
      <c r="G4" s="486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395</v>
      </c>
      <c r="C5" s="462">
        <v>0</v>
      </c>
      <c r="D5" s="1364"/>
      <c r="E5" s="1350"/>
      <c r="F5" s="1368"/>
      <c r="G5" s="405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391</v>
      </c>
      <c r="C6" s="513">
        <v>0</v>
      </c>
      <c r="D6" s="1364"/>
      <c r="E6" s="1350"/>
      <c r="F6" s="1368"/>
      <c r="G6" s="40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519</v>
      </c>
      <c r="C7" s="464">
        <v>0</v>
      </c>
      <c r="D7" s="420" t="s">
        <v>286</v>
      </c>
      <c r="E7" s="421" t="s">
        <v>254</v>
      </c>
      <c r="F7" s="1352" t="s">
        <v>594</v>
      </c>
      <c r="G7" s="405"/>
      <c r="H7" s="416" t="s">
        <v>487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488</v>
      </c>
      <c r="C8" s="462">
        <v>0</v>
      </c>
      <c r="D8" s="424" t="s">
        <v>286</v>
      </c>
      <c r="E8" s="425" t="s">
        <v>254</v>
      </c>
      <c r="F8" s="1353"/>
      <c r="G8" s="523"/>
      <c r="H8" s="418" t="s">
        <v>484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489</v>
      </c>
      <c r="C9" s="461">
        <v>0</v>
      </c>
      <c r="D9" s="424" t="s">
        <v>286</v>
      </c>
      <c r="E9" s="424" t="s">
        <v>254</v>
      </c>
      <c r="F9" s="1353"/>
      <c r="G9" s="523"/>
      <c r="H9" s="418" t="s">
        <v>485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520</v>
      </c>
      <c r="C10" s="462">
        <v>0</v>
      </c>
      <c r="D10" s="422" t="s">
        <v>286</v>
      </c>
      <c r="E10" s="423" t="s">
        <v>254</v>
      </c>
      <c r="F10" s="1353"/>
      <c r="G10" s="523"/>
      <c r="H10" s="418" t="s">
        <v>486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490</v>
      </c>
      <c r="C11" s="462">
        <v>0</v>
      </c>
      <c r="D11" s="424" t="s">
        <v>286</v>
      </c>
      <c r="E11" s="425" t="s">
        <v>254</v>
      </c>
      <c r="F11" s="1353"/>
      <c r="G11" s="405"/>
      <c r="H11" s="418" t="s">
        <v>492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491</v>
      </c>
      <c r="C12" s="463">
        <v>0</v>
      </c>
      <c r="D12" s="487" t="s">
        <v>286</v>
      </c>
      <c r="E12" s="488" t="s">
        <v>254</v>
      </c>
      <c r="F12" s="1354"/>
      <c r="G12" s="405"/>
      <c r="H12" s="418" t="s">
        <v>624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587</v>
      </c>
      <c r="C13" s="513">
        <v>0</v>
      </c>
      <c r="D13" s="515" t="s">
        <v>617</v>
      </c>
      <c r="E13" s="516" t="s">
        <v>618</v>
      </c>
      <c r="F13" s="517" t="s">
        <v>619</v>
      </c>
      <c r="G13" s="405"/>
      <c r="H13" s="418" t="s">
        <v>516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396</v>
      </c>
      <c r="C14" s="464">
        <v>0</v>
      </c>
      <c r="D14" s="420" t="s">
        <v>286</v>
      </c>
      <c r="E14" s="421" t="s">
        <v>254</v>
      </c>
      <c r="F14" s="1365" t="s">
        <v>595</v>
      </c>
      <c r="G14" s="405"/>
      <c r="H14" s="418" t="s">
        <v>517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397</v>
      </c>
      <c r="C15" s="463">
        <v>0</v>
      </c>
      <c r="D15" s="487" t="s">
        <v>286</v>
      </c>
      <c r="E15" s="488" t="s">
        <v>254</v>
      </c>
      <c r="F15" s="1366"/>
      <c r="G15" s="405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403</v>
      </c>
      <c r="C16" s="466">
        <v>0</v>
      </c>
      <c r="D16" s="524" t="s">
        <v>408</v>
      </c>
      <c r="E16" s="428" t="s">
        <v>409</v>
      </c>
      <c r="F16" s="469"/>
      <c r="G16" s="405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146</v>
      </c>
      <c r="C17" s="464">
        <v>0</v>
      </c>
      <c r="D17" s="1355" t="s">
        <v>684</v>
      </c>
      <c r="E17" s="1356"/>
      <c r="F17" s="1357"/>
      <c r="G17" s="405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145</v>
      </c>
      <c r="C18" s="461">
        <v>0</v>
      </c>
      <c r="D18" s="1358" t="s">
        <v>685</v>
      </c>
      <c r="E18" s="1359"/>
      <c r="F18" s="1360"/>
      <c r="G18" s="405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142</v>
      </c>
      <c r="C19" s="463">
        <v>0</v>
      </c>
      <c r="D19" s="1361" t="s">
        <v>686</v>
      </c>
      <c r="E19" s="1362"/>
      <c r="F19" s="1363"/>
      <c r="G19" s="405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398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399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478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719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476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473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400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401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523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450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449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826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474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366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479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367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453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374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495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376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377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379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527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385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526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386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628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629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630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631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454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144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147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687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632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721" priority="9" operator="greaterThan">
      <formula>0</formula>
    </cfRule>
  </conditionalFormatting>
  <conditionalFormatting sqref="C13">
    <cfRule type="cellIs" dxfId="720" priority="10" operator="greaterThan">
      <formula>0</formula>
    </cfRule>
  </conditionalFormatting>
  <conditionalFormatting sqref="C2:C16">
    <cfRule type="cellIs" dxfId="719" priority="8" operator="greaterThan">
      <formula>0</formula>
    </cfRule>
  </conditionalFormatting>
  <conditionalFormatting sqref="C23:E57">
    <cfRule type="cellIs" dxfId="718" priority="7" operator="greaterThan">
      <formula>0</formula>
    </cfRule>
  </conditionalFormatting>
  <conditionalFormatting sqref="E58">
    <cfRule type="cellIs" dxfId="717" priority="6" operator="greaterThan">
      <formula>0</formula>
    </cfRule>
  </conditionalFormatting>
  <conditionalFormatting sqref="I3:I21">
    <cfRule type="cellIs" dxfId="716" priority="2" operator="equal">
      <formula>"ДА"</formula>
    </cfRule>
    <cfRule type="cellIs" dxfId="715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4" priority="5" operator="greaterThan">
      <formula>0</formula>
    </cfRule>
  </conditionalFormatting>
  <conditionalFormatting sqref="C17:C19">
    <cfRule type="cellIs" dxfId="71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59" activePane="bottomLeft" state="frozen"/>
      <selection pane="bottomLeft" activeCell="F80" sqref="F80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73"/>
      <c r="C1" s="1274"/>
      <c r="D1" s="1274"/>
    </row>
    <row r="2" spans="2:13" ht="11.25" customHeight="1" thickBot="1">
      <c r="B2" s="500" t="s">
        <v>10</v>
      </c>
      <c r="C2" s="458">
        <v>1.85</v>
      </c>
      <c r="D2" s="1344" t="s">
        <v>593</v>
      </c>
      <c r="E2" s="1345"/>
      <c r="F2" s="1346"/>
      <c r="G2" s="119"/>
      <c r="H2" s="409" t="s">
        <v>483</v>
      </c>
      <c r="I2" s="410" t="s">
        <v>602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347"/>
      <c r="E3" s="1348"/>
      <c r="F3" s="1349"/>
      <c r="H3" s="571" t="s">
        <v>371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528</v>
      </c>
      <c r="C4" s="464">
        <v>1</v>
      </c>
      <c r="D4" s="1344" t="s">
        <v>595</v>
      </c>
      <c r="E4" s="1345"/>
      <c r="F4" s="1367"/>
      <c r="G4" s="248"/>
      <c r="H4" s="416" t="s">
        <v>372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395</v>
      </c>
      <c r="C5" s="462">
        <v>0</v>
      </c>
      <c r="D5" s="1364"/>
      <c r="E5" s="1350"/>
      <c r="F5" s="1368"/>
      <c r="G5" s="248"/>
      <c r="H5" s="416" t="s">
        <v>373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391</v>
      </c>
      <c r="C6" s="466">
        <v>0</v>
      </c>
      <c r="D6" s="1364"/>
      <c r="E6" s="1350"/>
      <c r="F6" s="1368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519</v>
      </c>
      <c r="C7" s="464">
        <v>1</v>
      </c>
      <c r="D7" s="510" t="s">
        <v>286</v>
      </c>
      <c r="E7" s="364" t="s">
        <v>254</v>
      </c>
      <c r="F7" s="1352" t="s">
        <v>594</v>
      </c>
      <c r="H7" s="416" t="s">
        <v>487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488</v>
      </c>
      <c r="C8" s="462">
        <v>0</v>
      </c>
      <c r="D8" s="367" t="s">
        <v>286</v>
      </c>
      <c r="E8" s="366" t="s">
        <v>254</v>
      </c>
      <c r="F8" s="1353"/>
      <c r="H8" s="418" t="s">
        <v>484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489</v>
      </c>
      <c r="C9" s="461">
        <v>0</v>
      </c>
      <c r="D9" s="367" t="s">
        <v>286</v>
      </c>
      <c r="E9" s="366" t="s">
        <v>254</v>
      </c>
      <c r="F9" s="1353"/>
      <c r="G9" s="249"/>
      <c r="H9" s="418" t="s">
        <v>485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520</v>
      </c>
      <c r="C10" s="462">
        <v>0</v>
      </c>
      <c r="D10" s="511" t="s">
        <v>286</v>
      </c>
      <c r="E10" s="369" t="s">
        <v>254</v>
      </c>
      <c r="F10" s="1353"/>
      <c r="G10" s="249"/>
      <c r="H10" s="418" t="s">
        <v>486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490</v>
      </c>
      <c r="C11" s="462">
        <v>0</v>
      </c>
      <c r="D11" s="367" t="s">
        <v>286</v>
      </c>
      <c r="E11" s="366" t="s">
        <v>254</v>
      </c>
      <c r="F11" s="1353"/>
      <c r="G11" s="249"/>
      <c r="H11" s="418" t="s">
        <v>492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491</v>
      </c>
      <c r="C12" s="472">
        <v>0</v>
      </c>
      <c r="D12" s="529" t="s">
        <v>286</v>
      </c>
      <c r="E12" s="519" t="s">
        <v>254</v>
      </c>
      <c r="F12" s="1353"/>
      <c r="H12" s="418" t="s">
        <v>624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587</v>
      </c>
      <c r="C13" s="465">
        <v>2</v>
      </c>
      <c r="D13" s="471" t="s">
        <v>617</v>
      </c>
      <c r="E13" s="434" t="s">
        <v>618</v>
      </c>
      <c r="F13" s="436" t="s">
        <v>619</v>
      </c>
      <c r="H13" s="418" t="s">
        <v>516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392</v>
      </c>
      <c r="C14" s="513">
        <v>1</v>
      </c>
      <c r="D14" s="530" t="s">
        <v>393</v>
      </c>
      <c r="E14" s="375" t="s">
        <v>394</v>
      </c>
      <c r="F14" s="558"/>
      <c r="H14" s="418" t="s">
        <v>517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529</v>
      </c>
      <c r="C15" s="465">
        <v>0</v>
      </c>
      <c r="D15" s="520" t="s">
        <v>286</v>
      </c>
      <c r="E15" s="373" t="s">
        <v>254</v>
      </c>
      <c r="F15" s="470" t="s">
        <v>666</v>
      </c>
      <c r="H15" s="416" t="s">
        <v>378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480</v>
      </c>
      <c r="C16" s="466">
        <v>0</v>
      </c>
      <c r="D16" s="521" t="s">
        <v>286</v>
      </c>
      <c r="E16" s="371" t="s">
        <v>254</v>
      </c>
      <c r="F16" s="55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411</v>
      </c>
      <c r="C17" s="466">
        <v>1</v>
      </c>
      <c r="D17" s="521" t="s">
        <v>286</v>
      </c>
      <c r="E17" s="371" t="s">
        <v>254</v>
      </c>
      <c r="F17" s="470" t="s">
        <v>623</v>
      </c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360</v>
      </c>
      <c r="C18" s="462">
        <v>0</v>
      </c>
      <c r="D18" s="510" t="s">
        <v>286</v>
      </c>
      <c r="E18" s="364" t="s">
        <v>254</v>
      </c>
      <c r="F18" s="1352" t="s">
        <v>595</v>
      </c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361</v>
      </c>
      <c r="C19" s="461">
        <v>0</v>
      </c>
      <c r="D19" s="367" t="s">
        <v>286</v>
      </c>
      <c r="E19" s="366" t="s">
        <v>254</v>
      </c>
      <c r="F19" s="1353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466</v>
      </c>
      <c r="C20" s="461">
        <v>0</v>
      </c>
      <c r="D20" s="367" t="s">
        <v>286</v>
      </c>
      <c r="E20" s="366" t="s">
        <v>254</v>
      </c>
      <c r="F20" s="1353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465</v>
      </c>
      <c r="C21" s="461">
        <v>1</v>
      </c>
      <c r="D21" s="521" t="s">
        <v>286</v>
      </c>
      <c r="E21" s="371" t="s">
        <v>254</v>
      </c>
      <c r="F21" s="1354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403</v>
      </c>
      <c r="C22" s="465">
        <v>1</v>
      </c>
      <c r="D22" s="520" t="s">
        <v>286</v>
      </c>
      <c r="E22" s="373" t="s">
        <v>254</v>
      </c>
      <c r="F22" s="531"/>
    </row>
    <row r="23" spans="1:11">
      <c r="B23" s="407" t="s">
        <v>146</v>
      </c>
      <c r="C23" s="464">
        <v>0</v>
      </c>
      <c r="D23" s="1355" t="s">
        <v>684</v>
      </c>
      <c r="E23" s="1356"/>
      <c r="F23" s="1357"/>
    </row>
    <row r="24" spans="1:11">
      <c r="B24" s="417" t="s">
        <v>145</v>
      </c>
      <c r="C24" s="461">
        <v>0</v>
      </c>
      <c r="D24" s="1358" t="s">
        <v>685</v>
      </c>
      <c r="E24" s="1359"/>
      <c r="F24" s="1360"/>
    </row>
    <row r="25" spans="1:11" ht="12" thickBot="1">
      <c r="B25" s="412" t="s">
        <v>142</v>
      </c>
      <c r="C25" s="463">
        <v>0</v>
      </c>
      <c r="D25" s="1361" t="s">
        <v>686</v>
      </c>
      <c r="E25" s="1362"/>
      <c r="F25" s="1363"/>
    </row>
    <row r="26" spans="1:11" ht="12" thickBot="1">
      <c r="A26" s="69"/>
      <c r="B26" s="1369"/>
      <c r="C26" s="1369"/>
      <c r="D26" s="1369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561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603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604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466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614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363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364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633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410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531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532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681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479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477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476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473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523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450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449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826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469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366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682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453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374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495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376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526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377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379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527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385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386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628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629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630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631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634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683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635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636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637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638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456</v>
      </c>
      <c r="C71" s="342">
        <f>IF(C16=1,C2*(C4+C5+C6),0)</f>
        <v>0</v>
      </c>
      <c r="D71" s="353"/>
      <c r="E71" s="400">
        <f t="shared" si="1"/>
        <v>0</v>
      </c>
      <c r="F71" s="357"/>
    </row>
    <row r="72" spans="2:6">
      <c r="B72" s="346" t="s">
        <v>456</v>
      </c>
      <c r="C72" s="347">
        <f>IF(C17=1,C3*4*(C4+C5+C6),0)</f>
        <v>4.4000000000000004</v>
      </c>
      <c r="D72" s="353"/>
      <c r="E72" s="400">
        <f t="shared" si="1"/>
        <v>0</v>
      </c>
      <c r="F72" s="357"/>
    </row>
    <row r="73" spans="2:6">
      <c r="B73" s="346" t="s">
        <v>533</v>
      </c>
      <c r="C73" s="347">
        <f>IF(AND(C17=1,C14=1),((C3*2)+C2)*(C4+C5+C6),0)</f>
        <v>4.0500000000000007</v>
      </c>
      <c r="D73" s="353"/>
      <c r="E73" s="400">
        <f>C73*D73</f>
        <v>0</v>
      </c>
      <c r="F73" s="357"/>
    </row>
    <row r="74" spans="2:6">
      <c r="B74" s="346" t="s">
        <v>368</v>
      </c>
      <c r="C74" s="347">
        <f>C15*((C3*2)+C2+0.3)*(C4+C5+C6)</f>
        <v>0</v>
      </c>
      <c r="D74" s="353"/>
      <c r="E74" s="400">
        <f t="shared" si="1"/>
        <v>0</v>
      </c>
      <c r="F74" s="357"/>
    </row>
    <row r="75" spans="2:6">
      <c r="B75" s="346" t="s">
        <v>369</v>
      </c>
      <c r="C75" s="347">
        <f>C15*2*(C4+C5+C6)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C15*(C4+C5+C6)</f>
        <v>0</v>
      </c>
      <c r="D76" s="353"/>
      <c r="E76" s="400">
        <f t="shared" si="1"/>
        <v>0</v>
      </c>
      <c r="F76" s="357"/>
    </row>
    <row r="77" spans="2:6">
      <c r="B77" s="346" t="s">
        <v>647</v>
      </c>
      <c r="C77" s="347">
        <f>C15*(C4+C5+C6)</f>
        <v>0</v>
      </c>
      <c r="D77" s="353"/>
      <c r="E77" s="400">
        <f t="shared" ref="E77" si="2">C77*D77</f>
        <v>0</v>
      </c>
      <c r="F77" s="357"/>
    </row>
    <row r="78" spans="2:6">
      <c r="B78" s="346" t="s">
        <v>457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452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335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144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147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687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632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wiKutJXD9nPmGwYrC5n61m7a/PQmWnSe0lusFK9+wKL857yP+R4RTjZJGwXVZmtkjCW8HqF1AzOF8prQ0JyYnw==" saltValue="MqlTuTZhn7FaTBW6aU3LTQ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2" priority="11" operator="greaterThan">
      <formula>0</formula>
    </cfRule>
  </conditionalFormatting>
  <conditionalFormatting sqref="C13">
    <cfRule type="cellIs" dxfId="711" priority="12" operator="greaterThan">
      <formula>0</formula>
    </cfRule>
  </conditionalFormatting>
  <conditionalFormatting sqref="C13">
    <cfRule type="cellIs" dxfId="710" priority="10" operator="greaterThan">
      <formula>0</formula>
    </cfRule>
  </conditionalFormatting>
  <conditionalFormatting sqref="I3:I21">
    <cfRule type="cellIs" dxfId="709" priority="6" operator="equal">
      <formula>"ДА"</formula>
    </cfRule>
    <cfRule type="cellIs" dxfId="708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7" priority="9" operator="greaterThan">
      <formula>0</formula>
    </cfRule>
  </conditionalFormatting>
  <conditionalFormatting sqref="C2:C22">
    <cfRule type="cellIs" dxfId="706" priority="5" operator="greaterThan">
      <formula>0</formula>
    </cfRule>
  </conditionalFormatting>
  <conditionalFormatting sqref="C84:E84">
    <cfRule type="cellIs" dxfId="705" priority="4" operator="greaterThan">
      <formula>0</formula>
    </cfRule>
  </conditionalFormatting>
  <conditionalFormatting sqref="E85">
    <cfRule type="cellIs" dxfId="704" priority="3" operator="greaterThan">
      <formula>0</formula>
    </cfRule>
  </conditionalFormatting>
  <conditionalFormatting sqref="C23:C25">
    <cfRule type="cellIs" dxfId="703" priority="2" operator="greaterThan">
      <formula>0</formula>
    </cfRule>
  </conditionalFormatting>
  <conditionalFormatting sqref="C81:E83">
    <cfRule type="cellIs" dxfId="70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71" t="s">
        <v>593</v>
      </c>
      <c r="E2" s="1372"/>
      <c r="F2" s="1373"/>
      <c r="G2" s="316"/>
      <c r="H2" s="381" t="s">
        <v>483</v>
      </c>
      <c r="I2" s="393" t="s">
        <v>602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74"/>
      <c r="E3" s="1375"/>
      <c r="F3" s="1376"/>
      <c r="G3" s="316"/>
      <c r="H3" s="317" t="s">
        <v>487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412</v>
      </c>
      <c r="C4" s="541">
        <v>0</v>
      </c>
      <c r="D4" s="1377" t="s">
        <v>594</v>
      </c>
      <c r="E4" s="1345"/>
      <c r="F4" s="1346"/>
      <c r="G4" s="320"/>
      <c r="H4" s="321" t="s">
        <v>484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413</v>
      </c>
      <c r="C5" s="542">
        <v>0</v>
      </c>
      <c r="D5" s="1378"/>
      <c r="E5" s="1350"/>
      <c r="F5" s="1351"/>
      <c r="G5" s="316"/>
      <c r="H5" s="321" t="s">
        <v>589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584</v>
      </c>
      <c r="C6" s="542">
        <v>0</v>
      </c>
      <c r="D6" s="1378"/>
      <c r="E6" s="1350"/>
      <c r="F6" s="1351"/>
      <c r="G6" s="316"/>
      <c r="H6" s="321" t="s">
        <v>485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414</v>
      </c>
      <c r="C7" s="544">
        <v>1</v>
      </c>
      <c r="D7" s="1378"/>
      <c r="E7" s="1350"/>
      <c r="F7" s="1351"/>
      <c r="G7" s="316"/>
      <c r="H7" s="321" t="s">
        <v>486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415</v>
      </c>
      <c r="C8" s="542">
        <v>0</v>
      </c>
      <c r="D8" s="1378"/>
      <c r="E8" s="1350"/>
      <c r="F8" s="1351"/>
      <c r="G8" s="316"/>
      <c r="H8" s="321" t="s">
        <v>492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583</v>
      </c>
      <c r="C9" s="543">
        <v>0</v>
      </c>
      <c r="D9" s="1379"/>
      <c r="E9" s="1348"/>
      <c r="F9" s="1349"/>
      <c r="G9" s="316"/>
      <c r="H9" s="317" t="s">
        <v>588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496</v>
      </c>
      <c r="C10" s="541">
        <v>0</v>
      </c>
      <c r="D10" s="363" t="s">
        <v>286</v>
      </c>
      <c r="E10" s="364" t="s">
        <v>254</v>
      </c>
      <c r="F10" s="1352" t="s">
        <v>594</v>
      </c>
      <c r="G10" s="324"/>
      <c r="H10" s="317" t="s">
        <v>382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497</v>
      </c>
      <c r="C11" s="542">
        <v>0</v>
      </c>
      <c r="D11" s="365" t="s">
        <v>286</v>
      </c>
      <c r="E11" s="366" t="s">
        <v>254</v>
      </c>
      <c r="F11" s="1353"/>
      <c r="G11" s="316"/>
      <c r="H11" s="327" t="s">
        <v>383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585</v>
      </c>
      <c r="C12" s="542">
        <v>0</v>
      </c>
      <c r="D12" s="365" t="s">
        <v>286</v>
      </c>
      <c r="E12" s="367" t="s">
        <v>254</v>
      </c>
      <c r="F12" s="1353"/>
      <c r="G12" s="316"/>
      <c r="H12" s="327" t="s">
        <v>384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498</v>
      </c>
      <c r="C13" s="544">
        <v>1</v>
      </c>
      <c r="D13" s="368" t="s">
        <v>286</v>
      </c>
      <c r="E13" s="369" t="s">
        <v>254</v>
      </c>
      <c r="F13" s="1353"/>
      <c r="G13" s="316"/>
      <c r="H13" s="327" t="s">
        <v>590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499</v>
      </c>
      <c r="C14" s="542">
        <v>0</v>
      </c>
      <c r="D14" s="365" t="s">
        <v>286</v>
      </c>
      <c r="E14" s="366" t="s">
        <v>254</v>
      </c>
      <c r="F14" s="1353"/>
      <c r="G14" s="316"/>
      <c r="H14" s="327" t="s">
        <v>590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586</v>
      </c>
      <c r="C15" s="543">
        <v>0</v>
      </c>
      <c r="D15" s="370" t="s">
        <v>286</v>
      </c>
      <c r="E15" s="371" t="s">
        <v>254</v>
      </c>
      <c r="F15" s="1354"/>
      <c r="G15" s="316"/>
      <c r="H15" s="317" t="s">
        <v>387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587</v>
      </c>
      <c r="C16" s="543">
        <v>0</v>
      </c>
      <c r="D16" s="370" t="s">
        <v>617</v>
      </c>
      <c r="E16" s="371" t="s">
        <v>618</v>
      </c>
      <c r="F16" s="376" t="s">
        <v>619</v>
      </c>
      <c r="G16" s="316"/>
      <c r="H16" s="327" t="s">
        <v>388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529</v>
      </c>
      <c r="C17" s="545">
        <v>0</v>
      </c>
      <c r="D17" s="372" t="s">
        <v>286</v>
      </c>
      <c r="E17" s="373" t="s">
        <v>254</v>
      </c>
      <c r="F17" s="470" t="s">
        <v>667</v>
      </c>
      <c r="G17" s="316"/>
      <c r="H17" s="327" t="s">
        <v>389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530</v>
      </c>
      <c r="C18" s="543">
        <v>0</v>
      </c>
      <c r="D18" s="370" t="s">
        <v>286</v>
      </c>
      <c r="E18" s="371" t="s">
        <v>254</v>
      </c>
      <c r="F18" s="560"/>
      <c r="G18" s="316"/>
      <c r="H18" s="317" t="s">
        <v>591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392</v>
      </c>
      <c r="C19" s="546">
        <v>0</v>
      </c>
      <c r="D19" s="374" t="s">
        <v>393</v>
      </c>
      <c r="E19" s="375" t="s">
        <v>394</v>
      </c>
      <c r="F19" s="560"/>
      <c r="G19" s="316"/>
      <c r="H19" s="331" t="s">
        <v>592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357</v>
      </c>
      <c r="C20" s="545">
        <v>0</v>
      </c>
      <c r="D20" s="372" t="s">
        <v>416</v>
      </c>
      <c r="E20" s="373" t="s">
        <v>417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360</v>
      </c>
      <c r="C21" s="544">
        <v>0</v>
      </c>
      <c r="D21" s="363" t="s">
        <v>286</v>
      </c>
      <c r="E21" s="364" t="s">
        <v>254</v>
      </c>
      <c r="F21" s="1352" t="s">
        <v>595</v>
      </c>
      <c r="G21" s="316"/>
      <c r="H21" s="316"/>
      <c r="I21" s="316"/>
      <c r="J21" s="316"/>
      <c r="K21" s="316"/>
    </row>
    <row r="22" spans="2:13" ht="12" customHeight="1">
      <c r="B22" s="536" t="s">
        <v>465</v>
      </c>
      <c r="C22" s="544">
        <v>0</v>
      </c>
      <c r="D22" s="365" t="s">
        <v>286</v>
      </c>
      <c r="E22" s="366" t="s">
        <v>254</v>
      </c>
      <c r="F22" s="1353"/>
      <c r="G22" s="316"/>
      <c r="H22" s="316"/>
      <c r="I22" s="316"/>
      <c r="J22" s="316"/>
      <c r="K22" s="316"/>
    </row>
    <row r="23" spans="2:13" ht="12" customHeight="1">
      <c r="B23" s="534" t="s">
        <v>361</v>
      </c>
      <c r="C23" s="542">
        <v>0</v>
      </c>
      <c r="D23" s="365" t="s">
        <v>286</v>
      </c>
      <c r="E23" s="366" t="s">
        <v>254</v>
      </c>
      <c r="F23" s="1353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466</v>
      </c>
      <c r="C24" s="547">
        <v>0</v>
      </c>
      <c r="D24" s="370" t="s">
        <v>286</v>
      </c>
      <c r="E24" s="371" t="s">
        <v>254</v>
      </c>
      <c r="F24" s="1354"/>
      <c r="G24" s="316"/>
      <c r="H24" s="316"/>
      <c r="I24" s="316"/>
      <c r="J24" s="316"/>
      <c r="K24" s="316"/>
    </row>
    <row r="25" spans="2:13" ht="12" customHeight="1">
      <c r="B25" s="724" t="s">
        <v>146</v>
      </c>
      <c r="C25" s="726">
        <v>0</v>
      </c>
      <c r="D25" s="1380" t="s">
        <v>684</v>
      </c>
      <c r="E25" s="1356"/>
      <c r="F25" s="1357"/>
      <c r="G25" s="316"/>
      <c r="H25" s="316"/>
      <c r="I25" s="316"/>
      <c r="J25" s="316"/>
      <c r="K25" s="316"/>
    </row>
    <row r="26" spans="2:13" ht="12" customHeight="1" thickBot="1">
      <c r="B26" s="725" t="s">
        <v>145</v>
      </c>
      <c r="C26" s="727">
        <v>0</v>
      </c>
      <c r="D26" s="1381" t="s">
        <v>685</v>
      </c>
      <c r="E26" s="1362"/>
      <c r="F26" s="1363"/>
      <c r="G26" s="316"/>
      <c r="H26" s="316"/>
      <c r="I26" s="316"/>
      <c r="J26" s="316"/>
      <c r="K26" s="316"/>
    </row>
    <row r="27" spans="2:13" ht="12" customHeight="1" thickBot="1">
      <c r="B27" s="1370"/>
      <c r="C27" s="1370"/>
      <c r="D27" s="1370"/>
      <c r="E27" s="1370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561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562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116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639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458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459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419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420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419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420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419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420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509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510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640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641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431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432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598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433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642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473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473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362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476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466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643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363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364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460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461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599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421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644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645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423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646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424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647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648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427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475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428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429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430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377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596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435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600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601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144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147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597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1" priority="72" operator="equal">
      <formula>"ДА"</formula>
    </cfRule>
    <cfRule type="cellIs" dxfId="700" priority="73" operator="equal">
      <formula>"НЕТ"</formula>
    </cfRule>
  </conditionalFormatting>
  <conditionalFormatting sqref="C85:C86 C92:C94 C88:C90 C97:C99">
    <cfRule type="cellIs" dxfId="699" priority="69" operator="equal">
      <formula>"ДА"</formula>
    </cfRule>
    <cfRule type="cellIs" dxfId="698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7" priority="66" operator="equal">
      <formula>"ДА"</formula>
    </cfRule>
    <cfRule type="cellIs" dxfId="696" priority="67" operator="equal">
      <formula>"НЕТ"</formula>
    </cfRule>
  </conditionalFormatting>
  <conditionalFormatting sqref="C87">
    <cfRule type="cellIs" dxfId="695" priority="63" operator="equal">
      <formula>"ДА"</formula>
    </cfRule>
    <cfRule type="cellIs" dxfId="694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3" priority="59" operator="equal">
      <formula>"ДА"</formula>
    </cfRule>
    <cfRule type="cellIs" dxfId="692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1" priority="55" operator="equal">
      <formula>"ДА"</formula>
    </cfRule>
    <cfRule type="cellIs" dxfId="690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89" priority="49" operator="equal">
      <formula>"ДА"</formula>
    </cfRule>
    <cfRule type="cellIs" dxfId="688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7" priority="29" operator="equal">
      <formula>"ДА"</formula>
    </cfRule>
    <cfRule type="cellIs" dxfId="686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5" priority="26" operator="equal">
      <formula>"ДА"</formula>
    </cfRule>
    <cfRule type="cellIs" dxfId="684" priority="27" operator="equal">
      <formula>"НЕТ"</formula>
    </cfRule>
  </conditionalFormatting>
  <conditionalFormatting sqref="I5">
    <cfRule type="cellIs" dxfId="683" priority="23" operator="equal">
      <formula>"ДА"</formula>
    </cfRule>
    <cfRule type="cellIs" dxfId="682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1" priority="19" operator="equal">
      <formula>"ДА"</formula>
    </cfRule>
    <cfRule type="cellIs" dxfId="680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79" priority="15" operator="equal">
      <formula>"ДА"</formula>
    </cfRule>
    <cfRule type="cellIs" dxfId="678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7" priority="11" operator="equal">
      <formula>"ДА"</formula>
    </cfRule>
    <cfRule type="cellIs" dxfId="676" priority="12" operator="equal">
      <formula>"НЕТ"</formula>
    </cfRule>
  </conditionalFormatting>
  <conditionalFormatting sqref="I19">
    <cfRule type="cellIs" dxfId="675" priority="9" operator="equal">
      <formula>"ДА"</formula>
    </cfRule>
    <cfRule type="cellIs" dxfId="674" priority="10" operator="equal">
      <formula>"НЕТ"</formula>
    </cfRule>
  </conditionalFormatting>
  <conditionalFormatting sqref="K3:K19 C29:E78">
    <cfRule type="cellIs" dxfId="673" priority="8" operator="greaterThan">
      <formula>0</formula>
    </cfRule>
  </conditionalFormatting>
  <conditionalFormatting sqref="J3:J19">
    <cfRule type="cellIs" dxfId="672" priority="4" operator="greaterThan">
      <formula>0</formula>
    </cfRule>
    <cfRule type="cellIs" dxfId="671" priority="7" operator="greaterThan">
      <formula>0</formula>
    </cfRule>
  </conditionalFormatting>
  <conditionalFormatting sqref="C81:E81">
    <cfRule type="cellIs" dxfId="670" priority="6" operator="greaterThan">
      <formula>0</formula>
    </cfRule>
  </conditionalFormatting>
  <conditionalFormatting sqref="E82">
    <cfRule type="cellIs" dxfId="669" priority="5" operator="greaterThan">
      <formula>0</formula>
    </cfRule>
  </conditionalFormatting>
  <conditionalFormatting sqref="C2:C24">
    <cfRule type="cellIs" dxfId="668" priority="3" operator="greaterThan">
      <formula>0</formula>
    </cfRule>
  </conditionalFormatting>
  <conditionalFormatting sqref="C25:C26">
    <cfRule type="cellIs" dxfId="667" priority="2" operator="greaterThan">
      <formula>0</formula>
    </cfRule>
  </conditionalFormatting>
  <conditionalFormatting sqref="C79:E80">
    <cfRule type="cellIs" dxfId="66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82"/>
      <c r="C1" s="1383"/>
      <c r="D1" s="1383"/>
      <c r="E1" s="1383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344" t="s">
        <v>593</v>
      </c>
      <c r="E2" s="1345"/>
      <c r="F2" s="1346"/>
      <c r="G2" s="405"/>
      <c r="H2" s="409" t="s">
        <v>483</v>
      </c>
      <c r="I2" s="622" t="s">
        <v>602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347"/>
      <c r="E3" s="1348"/>
      <c r="F3" s="1349"/>
      <c r="G3" s="405"/>
      <c r="H3" s="413" t="s">
        <v>487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412</v>
      </c>
      <c r="C4" s="549">
        <v>0</v>
      </c>
      <c r="D4" s="1344" t="s">
        <v>595</v>
      </c>
      <c r="E4" s="1345"/>
      <c r="F4" s="1346"/>
      <c r="G4" s="486"/>
      <c r="H4" s="418" t="s">
        <v>484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413</v>
      </c>
      <c r="C5" s="550">
        <v>0</v>
      </c>
      <c r="D5" s="1347"/>
      <c r="E5" s="1348"/>
      <c r="F5" s="1349"/>
      <c r="G5" s="523"/>
      <c r="H5" s="418" t="s">
        <v>589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496</v>
      </c>
      <c r="C6" s="464">
        <v>0</v>
      </c>
      <c r="D6" s="420" t="s">
        <v>286</v>
      </c>
      <c r="E6" s="625" t="s">
        <v>254</v>
      </c>
      <c r="F6" s="1352" t="s">
        <v>595</v>
      </c>
      <c r="G6" s="523"/>
      <c r="H6" s="418" t="s">
        <v>485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497</v>
      </c>
      <c r="C7" s="461">
        <v>0</v>
      </c>
      <c r="D7" s="424" t="s">
        <v>286</v>
      </c>
      <c r="E7" s="424" t="s">
        <v>254</v>
      </c>
      <c r="F7" s="1353"/>
      <c r="G7" s="523"/>
      <c r="H7" s="418" t="s">
        <v>486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498</v>
      </c>
      <c r="C8" s="461">
        <v>0</v>
      </c>
      <c r="D8" s="424" t="s">
        <v>286</v>
      </c>
      <c r="E8" s="424" t="s">
        <v>254</v>
      </c>
      <c r="F8" s="1353"/>
      <c r="G8" s="523"/>
      <c r="H8" s="418" t="s">
        <v>492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499</v>
      </c>
      <c r="C9" s="472">
        <v>0</v>
      </c>
      <c r="D9" s="626" t="s">
        <v>286</v>
      </c>
      <c r="E9" s="517" t="s">
        <v>254</v>
      </c>
      <c r="F9" s="1354"/>
      <c r="G9" s="523"/>
      <c r="H9" s="413" t="s">
        <v>588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587</v>
      </c>
      <c r="C10" s="548"/>
      <c r="D10" s="433" t="s">
        <v>617</v>
      </c>
      <c r="E10" s="433" t="s">
        <v>618</v>
      </c>
      <c r="F10" s="627" t="s">
        <v>619</v>
      </c>
      <c r="G10" s="523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392</v>
      </c>
      <c r="C11" s="462">
        <v>0</v>
      </c>
      <c r="D11" s="628" t="s">
        <v>393</v>
      </c>
      <c r="E11" s="422" t="s">
        <v>394</v>
      </c>
      <c r="F11" s="1384"/>
      <c r="G11" s="405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357</v>
      </c>
      <c r="C12" s="472">
        <v>0</v>
      </c>
      <c r="D12" s="491" t="s">
        <v>416</v>
      </c>
      <c r="E12" s="491" t="s">
        <v>417</v>
      </c>
      <c r="F12" s="1385"/>
      <c r="G12" s="405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396</v>
      </c>
      <c r="C13" s="464">
        <v>0</v>
      </c>
      <c r="D13" s="420" t="s">
        <v>286</v>
      </c>
      <c r="E13" s="420" t="s">
        <v>254</v>
      </c>
      <c r="F13" s="1365" t="s">
        <v>595</v>
      </c>
      <c r="G13" s="405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397</v>
      </c>
      <c r="C14" s="463">
        <v>0</v>
      </c>
      <c r="D14" s="487" t="s">
        <v>286</v>
      </c>
      <c r="E14" s="487" t="s">
        <v>254</v>
      </c>
      <c r="F14" s="1366"/>
      <c r="G14" s="630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146</v>
      </c>
      <c r="C15" s="464">
        <v>0</v>
      </c>
      <c r="D15" s="1356" t="s">
        <v>684</v>
      </c>
      <c r="E15" s="1356"/>
      <c r="F15" s="1357"/>
      <c r="G15" s="405"/>
      <c r="H15" s="416" t="s">
        <v>389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145</v>
      </c>
      <c r="C16" s="463">
        <v>0</v>
      </c>
      <c r="D16" s="1362" t="s">
        <v>685</v>
      </c>
      <c r="E16" s="1362"/>
      <c r="F16" s="1363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639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419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420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419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420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509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510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641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431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432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433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649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473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400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401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398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399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460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461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421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645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423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377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596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435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144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147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597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5" priority="3" operator="greaterThan">
      <formula>0</formula>
    </cfRule>
    <cfRule type="cellIs" dxfId="664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3" priority="28" operator="equal">
      <formula>"ДА"</formula>
    </cfRule>
    <cfRule type="cellIs" dxfId="662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1" priority="25" operator="equal">
      <formula>"ДА"</formula>
    </cfRule>
    <cfRule type="cellIs" dxfId="660" priority="26" operator="equal">
      <formula>"НЕТ"</formula>
    </cfRule>
  </conditionalFormatting>
  <conditionalFormatting sqref="I5">
    <cfRule type="cellIs" dxfId="659" priority="22" operator="equal">
      <formula>"ДА"</formula>
    </cfRule>
    <cfRule type="cellIs" dxfId="658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7" priority="18" operator="equal">
      <formula>"ДА"</formula>
    </cfRule>
    <cfRule type="cellIs" dxfId="656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5" priority="14" operator="equal">
      <formula>"ДА"</formula>
    </cfRule>
    <cfRule type="cellIs" dxfId="654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3" priority="9" operator="greaterThan">
      <formula>0</formula>
    </cfRule>
  </conditionalFormatting>
  <conditionalFormatting sqref="C2:C14">
    <cfRule type="cellIs" dxfId="652" priority="7" operator="greaterThan">
      <formula>0</formula>
    </cfRule>
  </conditionalFormatting>
  <conditionalFormatting sqref="C24:E43 C46:E46">
    <cfRule type="cellIs" dxfId="651" priority="6" operator="greaterThan">
      <formula>0</formula>
    </cfRule>
  </conditionalFormatting>
  <conditionalFormatting sqref="E47">
    <cfRule type="cellIs" dxfId="650" priority="4" operator="greaterThan">
      <formula>0</formula>
    </cfRule>
    <cfRule type="cellIs" dxfId="649" priority="5" operator="greaterThan">
      <formula>0</formula>
    </cfRule>
  </conditionalFormatting>
  <conditionalFormatting sqref="C15:C16">
    <cfRule type="cellIs" dxfId="648" priority="2" operator="greaterThan">
      <formula>0</formula>
    </cfRule>
  </conditionalFormatting>
  <conditionalFormatting sqref="C44:E45">
    <cfRule type="cellIs" dxfId="64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2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342"/>
      <c r="C1" s="1343"/>
      <c r="D1" s="1343"/>
      <c r="E1" s="1343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344" t="s">
        <v>593</v>
      </c>
      <c r="E2" s="1345"/>
      <c r="F2" s="1346"/>
      <c r="G2" s="405"/>
      <c r="H2" s="409" t="s">
        <v>483</v>
      </c>
      <c r="I2" s="622" t="s">
        <v>602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347"/>
      <c r="E3" s="1348"/>
      <c r="F3" s="1349"/>
      <c r="G3" s="405"/>
      <c r="H3" s="413" t="s">
        <v>487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437</v>
      </c>
      <c r="C4" s="464">
        <v>0</v>
      </c>
      <c r="D4" s="1344" t="s">
        <v>595</v>
      </c>
      <c r="E4" s="1345"/>
      <c r="F4" s="1346"/>
      <c r="G4" s="405"/>
      <c r="H4" s="418" t="s">
        <v>484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438</v>
      </c>
      <c r="C5" s="461">
        <v>0</v>
      </c>
      <c r="D5" s="1364"/>
      <c r="E5" s="1350"/>
      <c r="F5" s="1351"/>
      <c r="G5" s="405"/>
      <c r="H5" s="418" t="s">
        <v>589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627</v>
      </c>
      <c r="C6" s="466">
        <v>1</v>
      </c>
      <c r="D6" s="1364"/>
      <c r="E6" s="1350"/>
      <c r="F6" s="1351"/>
      <c r="G6" s="405"/>
      <c r="H6" s="418" t="s">
        <v>485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411</v>
      </c>
      <c r="C7" s="465">
        <v>0</v>
      </c>
      <c r="D7" s="433" t="s">
        <v>286</v>
      </c>
      <c r="E7" s="434" t="s">
        <v>254</v>
      </c>
      <c r="F7" s="563" t="s">
        <v>667</v>
      </c>
      <c r="G7" s="489"/>
      <c r="H7" s="418" t="s">
        <v>486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480</v>
      </c>
      <c r="C8" s="465">
        <v>0</v>
      </c>
      <c r="D8" s="433" t="s">
        <v>286</v>
      </c>
      <c r="E8" s="434" t="s">
        <v>254</v>
      </c>
      <c r="F8" s="562"/>
      <c r="G8" s="523"/>
      <c r="H8" s="418" t="s">
        <v>492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496</v>
      </c>
      <c r="C9" s="464">
        <v>0</v>
      </c>
      <c r="D9" s="420" t="s">
        <v>286</v>
      </c>
      <c r="E9" s="421" t="s">
        <v>254</v>
      </c>
      <c r="F9" s="1352" t="s">
        <v>595</v>
      </c>
      <c r="G9" s="489"/>
      <c r="H9" s="413" t="s">
        <v>588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497</v>
      </c>
      <c r="C10" s="461">
        <v>0</v>
      </c>
      <c r="D10" s="424" t="s">
        <v>286</v>
      </c>
      <c r="E10" s="424" t="s">
        <v>254</v>
      </c>
      <c r="F10" s="1353"/>
      <c r="G10" s="405"/>
      <c r="H10" s="413" t="s">
        <v>382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585</v>
      </c>
      <c r="C11" s="461">
        <v>1</v>
      </c>
      <c r="D11" s="424" t="s">
        <v>286</v>
      </c>
      <c r="E11" s="424" t="s">
        <v>254</v>
      </c>
      <c r="F11" s="1353"/>
      <c r="G11" s="405"/>
      <c r="H11" s="416" t="s">
        <v>383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286</v>
      </c>
      <c r="E12" s="423" t="s">
        <v>254</v>
      </c>
      <c r="F12" s="1353"/>
      <c r="G12" s="405"/>
      <c r="H12" s="416" t="s">
        <v>384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286</v>
      </c>
      <c r="E13" s="425" t="s">
        <v>254</v>
      </c>
      <c r="F13" s="1353"/>
      <c r="G13" s="405"/>
      <c r="H13" s="416" t="s">
        <v>590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586</v>
      </c>
      <c r="C14" s="466">
        <v>0</v>
      </c>
      <c r="D14" s="424" t="s">
        <v>286</v>
      </c>
      <c r="E14" s="425" t="s">
        <v>254</v>
      </c>
      <c r="F14" s="1354"/>
      <c r="G14" s="405"/>
      <c r="H14" s="416" t="s">
        <v>590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587</v>
      </c>
      <c r="C15" s="548">
        <v>1</v>
      </c>
      <c r="D15" s="433" t="s">
        <v>617</v>
      </c>
      <c r="E15" s="434" t="s">
        <v>618</v>
      </c>
      <c r="F15" s="436" t="s">
        <v>619</v>
      </c>
      <c r="G15" s="405"/>
      <c r="H15" s="413" t="s">
        <v>387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529</v>
      </c>
      <c r="C16" s="466">
        <v>0</v>
      </c>
      <c r="D16" s="424" t="s">
        <v>286</v>
      </c>
      <c r="E16" s="425" t="s">
        <v>254</v>
      </c>
      <c r="F16" s="563" t="s">
        <v>667</v>
      </c>
      <c r="G16" s="405"/>
      <c r="H16" s="416" t="s">
        <v>388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360</v>
      </c>
      <c r="C17" s="464">
        <v>0</v>
      </c>
      <c r="D17" s="420" t="s">
        <v>286</v>
      </c>
      <c r="E17" s="421" t="s">
        <v>254</v>
      </c>
      <c r="F17" s="1352" t="s">
        <v>595</v>
      </c>
      <c r="G17" s="405"/>
      <c r="H17" s="416" t="s">
        <v>389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465</v>
      </c>
      <c r="C18" s="462">
        <v>0</v>
      </c>
      <c r="D18" s="424" t="s">
        <v>286</v>
      </c>
      <c r="E18" s="425" t="s">
        <v>254</v>
      </c>
      <c r="F18" s="1353"/>
      <c r="G18" s="405"/>
      <c r="H18" s="413" t="s">
        <v>591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361</v>
      </c>
      <c r="C19" s="461">
        <v>0</v>
      </c>
      <c r="D19" s="424" t="s">
        <v>286</v>
      </c>
      <c r="E19" s="425" t="s">
        <v>254</v>
      </c>
      <c r="F19" s="1353"/>
      <c r="G19" s="405"/>
      <c r="H19" s="437" t="s">
        <v>592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466</v>
      </c>
      <c r="C20" s="463">
        <v>1</v>
      </c>
      <c r="D20" s="427" t="s">
        <v>286</v>
      </c>
      <c r="E20" s="428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530</v>
      </c>
      <c r="C21" s="466">
        <v>0</v>
      </c>
      <c r="D21" s="427" t="s">
        <v>286</v>
      </c>
      <c r="E21" s="428" t="s">
        <v>254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146</v>
      </c>
      <c r="C22" s="464">
        <v>1</v>
      </c>
      <c r="D22" s="1356" t="s">
        <v>684</v>
      </c>
      <c r="E22" s="1356"/>
      <c r="F22" s="1357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145</v>
      </c>
      <c r="C23" s="463">
        <v>0</v>
      </c>
      <c r="D23" s="1362" t="s">
        <v>685</v>
      </c>
      <c r="E23" s="1362"/>
      <c r="F23" s="1363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561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562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651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652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116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653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419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419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509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654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655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656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644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444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445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650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433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473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473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362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476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472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535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363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364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460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461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599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638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441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657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658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659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660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645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724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724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536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661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662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663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464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482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482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481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377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596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435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600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601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597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424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425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426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427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144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147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428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6" priority="66" operator="greaterThan">
      <formula>0</formula>
    </cfRule>
  </conditionalFormatting>
  <conditionalFormatting sqref="J3:J19">
    <cfRule type="cellIs" dxfId="645" priority="12" operator="greaterThan">
      <formula>0</formula>
    </cfRule>
    <cfRule type="cellIs" dxfId="644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3" priority="33" operator="equal">
      <formula>"ДА"</formula>
    </cfRule>
    <cfRule type="cellIs" dxfId="642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1" priority="30" operator="equal">
      <formula>"ДА"</formula>
    </cfRule>
    <cfRule type="cellIs" dxfId="640" priority="31" operator="equal">
      <formula>"НЕТ"</formula>
    </cfRule>
  </conditionalFormatting>
  <conditionalFormatting sqref="I5">
    <cfRule type="cellIs" dxfId="639" priority="27" operator="equal">
      <formula>"ДА"</formula>
    </cfRule>
    <cfRule type="cellIs" dxfId="638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7" priority="23" operator="equal">
      <formula>"ДА"</formula>
    </cfRule>
    <cfRule type="cellIs" dxfId="636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5" priority="19" operator="equal">
      <formula>"ДА"</formula>
    </cfRule>
    <cfRule type="cellIs" dxfId="634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3" priority="17" operator="equal">
      <formula>"ДА"</formula>
    </cfRule>
    <cfRule type="cellIs" dxfId="632" priority="18" operator="equal">
      <formula>"НЕТ"</formula>
    </cfRule>
  </conditionalFormatting>
  <conditionalFormatting sqref="I19">
    <cfRule type="cellIs" dxfId="631" priority="15" operator="equal">
      <formula>"ДА"</formula>
    </cfRule>
    <cfRule type="cellIs" dxfId="630" priority="16" operator="equal">
      <formula>"НЕТ"</formula>
    </cfRule>
  </conditionalFormatting>
  <conditionalFormatting sqref="K3:K19">
    <cfRule type="cellIs" dxfId="629" priority="14" operator="greaterThan">
      <formula>0</formula>
    </cfRule>
  </conditionalFormatting>
  <conditionalFormatting sqref="C74:E74">
    <cfRule type="cellIs" dxfId="628" priority="11" operator="greaterThan">
      <formula>0</formula>
    </cfRule>
  </conditionalFormatting>
  <conditionalFormatting sqref="C75:E75">
    <cfRule type="cellIs" dxfId="627" priority="10" operator="greaterThan">
      <formula>0</formula>
    </cfRule>
  </conditionalFormatting>
  <conditionalFormatting sqref="I15:I19">
    <cfRule type="cellIs" dxfId="626" priority="9" operator="equal">
      <formula>"НЕТ"</formula>
    </cfRule>
  </conditionalFormatting>
  <conditionalFormatting sqref="I3:I19">
    <cfRule type="cellIs" dxfId="625" priority="5" operator="equal">
      <formula>"НЕТ"</formula>
    </cfRule>
    <cfRule type="cellIs" dxfId="624" priority="8" operator="equal">
      <formula>"ДА"</formula>
    </cfRule>
  </conditionalFormatting>
  <conditionalFormatting sqref="C2:C21">
    <cfRule type="cellIs" dxfId="623" priority="7" operator="greaterThan">
      <formula>0</formula>
    </cfRule>
  </conditionalFormatting>
  <conditionalFormatting sqref="C26:E80 C83:E83">
    <cfRule type="cellIs" dxfId="622" priority="6" operator="greaterThan">
      <formula>0</formula>
    </cfRule>
  </conditionalFormatting>
  <conditionalFormatting sqref="I3:I18">
    <cfRule type="cellIs" dxfId="621" priority="4" operator="equal">
      <formula>"ДА"</formula>
    </cfRule>
  </conditionalFormatting>
  <conditionalFormatting sqref="E84">
    <cfRule type="cellIs" dxfId="620" priority="3" operator="greaterThan">
      <formula>0</formula>
    </cfRule>
  </conditionalFormatting>
  <conditionalFormatting sqref="C22:C23">
    <cfRule type="cellIs" dxfId="619" priority="2" operator="greaterThan">
      <formula>0</formula>
    </cfRule>
  </conditionalFormatting>
  <conditionalFormatting sqref="C81:E82">
    <cfRule type="cellIs" dxfId="618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664</v>
      </c>
      <c r="C2" s="458">
        <v>0</v>
      </c>
      <c r="D2" s="1344" t="s">
        <v>593</v>
      </c>
      <c r="E2" s="1345"/>
      <c r="F2" s="1346"/>
      <c r="G2" s="405"/>
      <c r="H2" s="409" t="s">
        <v>483</v>
      </c>
      <c r="I2" s="410" t="s">
        <v>602</v>
      </c>
      <c r="J2" s="476" t="s">
        <v>4</v>
      </c>
      <c r="K2" s="477" t="s">
        <v>8</v>
      </c>
    </row>
    <row r="3" spans="1:11" ht="12.75" thickBot="1">
      <c r="A3" s="405"/>
      <c r="B3" s="412" t="s">
        <v>665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126</v>
      </c>
      <c r="C4" s="566">
        <v>0</v>
      </c>
      <c r="D4" s="1390" t="s">
        <v>127</v>
      </c>
      <c r="E4" s="1391"/>
      <c r="F4" s="1392"/>
      <c r="G4" s="405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490</v>
      </c>
      <c r="C5" s="464">
        <v>0</v>
      </c>
      <c r="D5" s="420" t="s">
        <v>286</v>
      </c>
      <c r="E5" s="420" t="s">
        <v>254</v>
      </c>
      <c r="F5" s="1352" t="s">
        <v>595</v>
      </c>
      <c r="G5" s="405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488</v>
      </c>
      <c r="C6" s="461">
        <v>0</v>
      </c>
      <c r="D6" s="424" t="s">
        <v>286</v>
      </c>
      <c r="E6" s="424" t="s">
        <v>254</v>
      </c>
      <c r="F6" s="1353"/>
      <c r="G6" s="405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491</v>
      </c>
      <c r="C7" s="461">
        <v>0</v>
      </c>
      <c r="D7" s="424" t="s">
        <v>286</v>
      </c>
      <c r="E7" s="424" t="s">
        <v>254</v>
      </c>
      <c r="F7" s="1353"/>
      <c r="G7" s="405"/>
      <c r="H7" s="416" t="s">
        <v>487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489</v>
      </c>
      <c r="C8" s="513">
        <v>0</v>
      </c>
      <c r="D8" s="626" t="s">
        <v>286</v>
      </c>
      <c r="E8" s="516" t="s">
        <v>254</v>
      </c>
      <c r="F8" s="1354"/>
      <c r="G8" s="405"/>
      <c r="H8" s="418" t="s">
        <v>484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587</v>
      </c>
      <c r="C9" s="548">
        <v>0</v>
      </c>
      <c r="D9" s="433" t="s">
        <v>617</v>
      </c>
      <c r="E9" s="434" t="s">
        <v>618</v>
      </c>
      <c r="F9" s="436" t="s">
        <v>619</v>
      </c>
      <c r="G9" s="405"/>
      <c r="H9" s="418" t="s">
        <v>485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668</v>
      </c>
      <c r="C10" s="567">
        <v>0</v>
      </c>
      <c r="D10" s="1393" t="s">
        <v>595</v>
      </c>
      <c r="E10" s="1394"/>
      <c r="F10" s="1395"/>
      <c r="G10" s="405"/>
      <c r="H10" s="418" t="s">
        <v>486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669</v>
      </c>
      <c r="C11" s="568">
        <v>0</v>
      </c>
      <c r="D11" s="1396"/>
      <c r="E11" s="1397"/>
      <c r="F11" s="1398"/>
      <c r="G11" s="405"/>
      <c r="H11" s="418" t="s">
        <v>492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541</v>
      </c>
      <c r="C12" s="566">
        <v>0</v>
      </c>
      <c r="D12" s="433" t="s">
        <v>286</v>
      </c>
      <c r="E12" s="434" t="s">
        <v>254</v>
      </c>
      <c r="F12" s="1384"/>
      <c r="G12" s="405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357</v>
      </c>
      <c r="C13" s="465">
        <v>0</v>
      </c>
      <c r="D13" s="433" t="s">
        <v>358</v>
      </c>
      <c r="E13" s="434" t="s">
        <v>359</v>
      </c>
      <c r="F13" s="1385"/>
      <c r="G13" s="405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360</v>
      </c>
      <c r="C14" s="462">
        <v>0</v>
      </c>
      <c r="D14" s="420" t="s">
        <v>286</v>
      </c>
      <c r="E14" s="421" t="s">
        <v>254</v>
      </c>
      <c r="F14" s="1352" t="s">
        <v>595</v>
      </c>
      <c r="G14" s="405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05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05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465</v>
      </c>
      <c r="C17" s="472">
        <v>0</v>
      </c>
      <c r="D17" s="626" t="s">
        <v>286</v>
      </c>
      <c r="E17" s="516" t="s">
        <v>254</v>
      </c>
      <c r="F17" s="1354"/>
      <c r="G17" s="405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500</v>
      </c>
      <c r="C18" s="566">
        <v>0</v>
      </c>
      <c r="D18" s="1388" t="s">
        <v>538</v>
      </c>
      <c r="E18" s="1389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146</v>
      </c>
      <c r="C19" s="464">
        <v>0</v>
      </c>
      <c r="D19" s="1355" t="s">
        <v>684</v>
      </c>
      <c r="E19" s="1356"/>
      <c r="F19" s="1357"/>
      <c r="G19" s="405"/>
      <c r="H19" s="564"/>
      <c r="I19" s="565"/>
      <c r="J19" s="638"/>
      <c r="K19" s="337"/>
    </row>
    <row r="20" spans="1:11" ht="12">
      <c r="A20" s="405"/>
      <c r="B20" s="417" t="s">
        <v>145</v>
      </c>
      <c r="C20" s="461">
        <v>0</v>
      </c>
      <c r="D20" s="1358" t="s">
        <v>685</v>
      </c>
      <c r="E20" s="1359"/>
      <c r="F20" s="1360"/>
      <c r="G20" s="405"/>
      <c r="H20" s="564"/>
      <c r="I20" s="565"/>
      <c r="J20" s="638"/>
      <c r="K20" s="337"/>
    </row>
    <row r="21" spans="1:11" ht="12.75" thickBot="1">
      <c r="A21" s="405"/>
      <c r="B21" s="412" t="s">
        <v>142</v>
      </c>
      <c r="C21" s="463">
        <v>0</v>
      </c>
      <c r="D21" s="1361" t="s">
        <v>686</v>
      </c>
      <c r="E21" s="1362"/>
      <c r="F21" s="1363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603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670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410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446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522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501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540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605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607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607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612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473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473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362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478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367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117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614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466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363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364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450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449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365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722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366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469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502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503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826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504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505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506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453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374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493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379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377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385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386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376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479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687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827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617" priority="30" operator="greaterThan">
      <formula>0</formula>
    </cfRule>
  </conditionalFormatting>
  <conditionalFormatting sqref="C9">
    <cfRule type="cellIs" dxfId="616" priority="31" operator="greaterThan">
      <formula>0</formula>
    </cfRule>
  </conditionalFormatting>
  <conditionalFormatting sqref="I18:I21">
    <cfRule type="cellIs" dxfId="615" priority="22" operator="equal">
      <formula>"ДА"</formula>
    </cfRule>
    <cfRule type="cellIs" dxfId="614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3" priority="33" operator="greaterThan">
      <formula>0</formula>
    </cfRule>
  </conditionalFormatting>
  <conditionalFormatting sqref="C62:E63">
    <cfRule type="cellIs" dxfId="612" priority="16" operator="greaterThan">
      <formula>0</formula>
    </cfRule>
  </conditionalFormatting>
  <conditionalFormatting sqref="C61:E61">
    <cfRule type="cellIs" dxfId="611" priority="17" operator="greaterThan">
      <formula>0</formula>
    </cfRule>
  </conditionalFormatting>
  <conditionalFormatting sqref="J3:K17">
    <cfRule type="cellIs" dxfId="610" priority="8" operator="greaterThan">
      <formula>0</formula>
    </cfRule>
    <cfRule type="cellIs" dxfId="609" priority="11" operator="greaterThan">
      <formula>0</formula>
    </cfRule>
  </conditionalFormatting>
  <conditionalFormatting sqref="C64:E64">
    <cfRule type="cellIs" dxfId="608" priority="15" operator="greaterThan">
      <formula>0</formula>
    </cfRule>
  </conditionalFormatting>
  <conditionalFormatting sqref="I3:I17">
    <cfRule type="cellIs" dxfId="607" priority="12" operator="equal">
      <formula>"НЕТ"</formula>
    </cfRule>
    <cfRule type="cellIs" dxfId="606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5" priority="10" operator="greaterThan">
      <formula>0</formula>
    </cfRule>
  </conditionalFormatting>
  <conditionalFormatting sqref="C24:E46 C69:E69 C49:E64">
    <cfRule type="cellIs" dxfId="604" priority="5" operator="greaterThan">
      <formula>0</formula>
    </cfRule>
    <cfRule type="cellIs" dxfId="603" priority="6" operator="greaterThan">
      <formula>0</formula>
    </cfRule>
    <cfRule type="cellIs" dxfId="602" priority="9" operator="greaterThan">
      <formula>0</formula>
    </cfRule>
  </conditionalFormatting>
  <conditionalFormatting sqref="E70">
    <cfRule type="cellIs" dxfId="601" priority="7" operator="greaterThan">
      <formula>0</formula>
    </cfRule>
  </conditionalFormatting>
  <conditionalFormatting sqref="C65:E65">
    <cfRule type="cellIs" dxfId="600" priority="4" operator="greaterThan">
      <formula>0</formula>
    </cfRule>
  </conditionalFormatting>
  <conditionalFormatting sqref="C47:E48">
    <cfRule type="cellIs" dxfId="599" priority="3" operator="greaterThan">
      <formula>0</formula>
    </cfRule>
  </conditionalFormatting>
  <conditionalFormatting sqref="C19:C21">
    <cfRule type="cellIs" dxfId="598" priority="2" operator="greaterThan">
      <formula>0</formula>
    </cfRule>
  </conditionalFormatting>
  <conditionalFormatting sqref="C66:E68">
    <cfRule type="cellIs" dxfId="5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3"/>
  <sheetViews>
    <sheetView workbookViewId="0">
      <pane ySplit="21" topLeftCell="A28" activePane="bottomLeft" state="frozen"/>
      <selection pane="bottomLeft" activeCell="F45" sqref="F45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664</v>
      </c>
      <c r="C2" s="458">
        <v>0</v>
      </c>
      <c r="D2" s="1344" t="s">
        <v>593</v>
      </c>
      <c r="E2" s="1345"/>
      <c r="F2" s="1346"/>
      <c r="G2" s="439"/>
      <c r="H2" s="409" t="s">
        <v>483</v>
      </c>
      <c r="I2" s="410" t="s">
        <v>602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665</v>
      </c>
      <c r="C3" s="459">
        <v>0</v>
      </c>
      <c r="D3" s="1347"/>
      <c r="E3" s="1348"/>
      <c r="F3" s="1349"/>
      <c r="G3" s="439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126</v>
      </c>
      <c r="C4" s="566">
        <v>0</v>
      </c>
      <c r="D4" s="1390" t="s">
        <v>127</v>
      </c>
      <c r="E4" s="1391"/>
      <c r="F4" s="1392"/>
      <c r="G4" s="439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490</v>
      </c>
      <c r="C5" s="464">
        <v>0</v>
      </c>
      <c r="D5" s="420" t="s">
        <v>286</v>
      </c>
      <c r="E5" s="420" t="s">
        <v>254</v>
      </c>
      <c r="F5" s="1353" t="s">
        <v>595</v>
      </c>
      <c r="G5" s="439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488</v>
      </c>
      <c r="C6" s="461">
        <v>0</v>
      </c>
      <c r="D6" s="424" t="s">
        <v>286</v>
      </c>
      <c r="E6" s="424" t="s">
        <v>254</v>
      </c>
      <c r="F6" s="1353"/>
      <c r="G6" s="439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491</v>
      </c>
      <c r="C7" s="461">
        <v>0</v>
      </c>
      <c r="D7" s="424" t="s">
        <v>286</v>
      </c>
      <c r="E7" s="424" t="s">
        <v>254</v>
      </c>
      <c r="F7" s="1353"/>
      <c r="G7" s="439"/>
      <c r="H7" s="416" t="s">
        <v>487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489</v>
      </c>
      <c r="C8" s="513">
        <v>0</v>
      </c>
      <c r="D8" s="626" t="s">
        <v>286</v>
      </c>
      <c r="E8" s="516" t="s">
        <v>254</v>
      </c>
      <c r="F8" s="1354"/>
      <c r="G8" s="439"/>
      <c r="H8" s="418" t="s">
        <v>484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587</v>
      </c>
      <c r="C9" s="548">
        <v>0</v>
      </c>
      <c r="D9" s="433" t="s">
        <v>617</v>
      </c>
      <c r="E9" s="434" t="s">
        <v>618</v>
      </c>
      <c r="F9" s="436" t="s">
        <v>619</v>
      </c>
      <c r="G9" s="439"/>
      <c r="H9" s="418" t="s">
        <v>485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360</v>
      </c>
      <c r="C10" s="464">
        <v>0</v>
      </c>
      <c r="D10" s="420" t="s">
        <v>286</v>
      </c>
      <c r="E10" s="625" t="s">
        <v>254</v>
      </c>
      <c r="F10" s="1352" t="s">
        <v>595</v>
      </c>
      <c r="G10" s="439"/>
      <c r="H10" s="418" t="s">
        <v>486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361</v>
      </c>
      <c r="C11" s="461">
        <v>0</v>
      </c>
      <c r="D11" s="424" t="s">
        <v>286</v>
      </c>
      <c r="E11" s="644" t="s">
        <v>254</v>
      </c>
      <c r="F11" s="1353"/>
      <c r="G11" s="439"/>
      <c r="H11" s="418" t="s">
        <v>492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466</v>
      </c>
      <c r="C12" s="461">
        <v>0</v>
      </c>
      <c r="D12" s="424" t="s">
        <v>286</v>
      </c>
      <c r="E12" s="644" t="s">
        <v>254</v>
      </c>
      <c r="F12" s="1353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465</v>
      </c>
      <c r="C13" s="463">
        <v>0</v>
      </c>
      <c r="D13" s="427" t="s">
        <v>286</v>
      </c>
      <c r="E13" s="431" t="s">
        <v>254</v>
      </c>
      <c r="F13" s="1354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668</v>
      </c>
      <c r="C14" s="567">
        <v>0</v>
      </c>
      <c r="D14" s="1393" t="s">
        <v>595</v>
      </c>
      <c r="E14" s="1394"/>
      <c r="F14" s="1395"/>
      <c r="G14" s="439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669</v>
      </c>
      <c r="C15" s="568">
        <v>0</v>
      </c>
      <c r="D15" s="1396"/>
      <c r="E15" s="1397"/>
      <c r="F15" s="1398"/>
      <c r="G15" s="439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403</v>
      </c>
      <c r="C16" s="465">
        <v>0</v>
      </c>
      <c r="D16" s="433" t="s">
        <v>542</v>
      </c>
      <c r="E16" s="645" t="s">
        <v>543</v>
      </c>
      <c r="F16" s="646"/>
      <c r="G16" s="439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146</v>
      </c>
      <c r="C17" s="464">
        <v>0</v>
      </c>
      <c r="D17" s="1355" t="s">
        <v>684</v>
      </c>
      <c r="E17" s="1356"/>
      <c r="F17" s="1357"/>
      <c r="G17" s="439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145</v>
      </c>
      <c r="C18" s="461">
        <v>0</v>
      </c>
      <c r="D18" s="1358" t="s">
        <v>685</v>
      </c>
      <c r="E18" s="1359"/>
      <c r="F18" s="1360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142</v>
      </c>
      <c r="C19" s="463">
        <v>0</v>
      </c>
      <c r="D19" s="1361" t="s">
        <v>686</v>
      </c>
      <c r="E19" s="1362"/>
      <c r="F19" s="1363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467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539</v>
      </c>
      <c r="C23" s="342">
        <f>C12*C4*(C14+C15)</f>
        <v>0</v>
      </c>
      <c r="D23" s="353"/>
      <c r="E23" s="344">
        <f t="shared" ref="E23:E64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410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446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501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473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473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362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117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471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472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363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364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450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449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451" t="s">
        <v>367</v>
      </c>
      <c r="C37" s="347">
        <f>(C25+C26)*2</f>
        <v>0</v>
      </c>
      <c r="D37" s="553"/>
      <c r="E37" s="569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366</v>
      </c>
      <c r="C38" s="347">
        <f>C14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723</v>
      </c>
      <c r="C39" s="347">
        <f>C15*((C4*2)-2)</f>
        <v>0</v>
      </c>
      <c r="D39" s="348"/>
      <c r="E39" s="344">
        <f t="shared" ref="E39" si="2">C39*D39</f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469</v>
      </c>
      <c r="C40" s="347">
        <f>C15</f>
        <v>0</v>
      </c>
      <c r="D40" s="353"/>
      <c r="E40" s="569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502</v>
      </c>
      <c r="C41" s="347">
        <f>(C4-1)*(C14+C15)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503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826</v>
      </c>
      <c r="C43" s="347">
        <f>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407</v>
      </c>
      <c r="C44" s="347">
        <f>EVEN(ROUNDDOWN(IF(C16=1,(C2*(C15+C14)/0.5),0),0))</f>
        <v>0</v>
      </c>
      <c r="D44" s="348"/>
      <c r="E44" s="344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05"/>
      <c r="B45" s="451" t="s">
        <v>478</v>
      </c>
      <c r="C45" s="347">
        <f>EVEN(ROUNDDOWN(IF(C16=0,(C2/0.5)*(C14+C15),0),0))</f>
        <v>0</v>
      </c>
      <c r="D45" s="348"/>
      <c r="E45" s="344">
        <f t="shared" si="1"/>
        <v>0</v>
      </c>
      <c r="F45" s="642"/>
      <c r="G45" s="439"/>
      <c r="H45" s="439"/>
      <c r="I45" s="439"/>
      <c r="J45" s="439"/>
      <c r="K45" s="439"/>
      <c r="L45" s="405"/>
    </row>
    <row r="46" spans="1:12">
      <c r="A46" s="405"/>
      <c r="B46" s="451" t="s">
        <v>455</v>
      </c>
      <c r="C46" s="347">
        <f>C2*(C14+C15)</f>
        <v>0</v>
      </c>
      <c r="D46" s="348"/>
      <c r="E46" s="344">
        <f t="shared" si="1"/>
        <v>0</v>
      </c>
      <c r="F46" s="647"/>
      <c r="G46" s="439"/>
      <c r="H46" s="439"/>
      <c r="I46" s="439"/>
      <c r="J46" s="439"/>
      <c r="K46" s="439"/>
      <c r="L46" s="405"/>
    </row>
    <row r="47" spans="1:12">
      <c r="A47" s="405"/>
      <c r="B47" s="451" t="s">
        <v>404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(C14+C15)</f>
        <v>0</v>
      </c>
      <c r="D48" s="348">
        <v>1</v>
      </c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</row>
    <row r="50" spans="1:12">
      <c r="A50" s="405"/>
      <c r="B50" s="452" t="s">
        <v>504</v>
      </c>
      <c r="C50" s="354">
        <f>(C4-1)*(C14+C15)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 ht="11.25" customHeight="1">
      <c r="A51" s="405"/>
      <c r="B51" s="452" t="s">
        <v>505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>
      <c r="A52" s="405"/>
      <c r="B52" s="452" t="s">
        <v>453</v>
      </c>
      <c r="C52" s="354">
        <f>(C5+C6)*C14</f>
        <v>0</v>
      </c>
      <c r="D52" s="348"/>
      <c r="E52" s="344">
        <f t="shared" si="1"/>
        <v>0</v>
      </c>
      <c r="F52" s="649"/>
      <c r="G52" s="439"/>
      <c r="H52" s="439"/>
      <c r="I52" s="439"/>
      <c r="J52" s="439"/>
      <c r="K52" s="439"/>
      <c r="L52" s="405"/>
    </row>
    <row r="53" spans="1:12">
      <c r="A53" s="405"/>
      <c r="B53" s="452" t="s">
        <v>374</v>
      </c>
      <c r="C53" s="354">
        <f>C6*C14</f>
        <v>0</v>
      </c>
      <c r="D53" s="348"/>
      <c r="E53" s="344">
        <f t="shared" si="1"/>
        <v>0</v>
      </c>
      <c r="F53" s="650"/>
      <c r="G53" s="439"/>
      <c r="H53" s="439"/>
      <c r="I53" s="439"/>
      <c r="J53" s="439"/>
      <c r="K53" s="439"/>
      <c r="L53" s="405"/>
    </row>
    <row r="54" spans="1:12">
      <c r="A54" s="405"/>
      <c r="B54" s="452" t="s">
        <v>493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377</v>
      </c>
      <c r="C55" s="399">
        <f>C8*C15</f>
        <v>0</v>
      </c>
      <c r="D55" s="353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385</v>
      </c>
      <c r="C56" s="399">
        <f>C7*C15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376</v>
      </c>
      <c r="C58" s="399">
        <f>C8*C15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1" t="s">
        <v>479</v>
      </c>
      <c r="C59" s="347">
        <f>C2*C15</f>
        <v>0</v>
      </c>
      <c r="D59" s="353"/>
      <c r="E59" s="344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 ht="11.25" customHeight="1">
      <c r="A60" s="405"/>
      <c r="B60" s="452" t="s">
        <v>379</v>
      </c>
      <c r="C60" s="354">
        <f>C5*C14</f>
        <v>0</v>
      </c>
      <c r="D60" s="348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525" t="s">
        <v>144</v>
      </c>
      <c r="C61" s="506">
        <f>C18</f>
        <v>0</v>
      </c>
      <c r="D61" s="522"/>
      <c r="E61" s="400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147</v>
      </c>
      <c r="C62" s="506">
        <f>C17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687</v>
      </c>
      <c r="C63" s="506">
        <f>C19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2" thickBot="1">
      <c r="A64" s="405"/>
      <c r="B64" s="454" t="s">
        <v>827</v>
      </c>
      <c r="C64" s="402">
        <f>C5*C14</f>
        <v>0</v>
      </c>
      <c r="D64" s="403"/>
      <c r="E64" s="404">
        <f t="shared" si="1"/>
        <v>0</v>
      </c>
      <c r="F64" s="651"/>
      <c r="G64" s="439"/>
      <c r="H64" s="439"/>
      <c r="I64" s="439"/>
      <c r="J64" s="439"/>
      <c r="K64" s="439"/>
      <c r="L64" s="405"/>
    </row>
    <row r="65" spans="1:12" ht="13.5" thickBot="1">
      <c r="A65" s="405"/>
      <c r="B65" s="439"/>
      <c r="C65" s="439"/>
      <c r="D65" s="455" t="s">
        <v>9</v>
      </c>
      <c r="E65" s="641">
        <f>SUMIF(E22:E64,"&gt;0",E22:E64)</f>
        <v>0</v>
      </c>
      <c r="F65" s="651"/>
      <c r="G65" s="439"/>
      <c r="H65" s="439"/>
      <c r="I65" s="439"/>
      <c r="J65" s="439"/>
      <c r="K65" s="439"/>
      <c r="L65" s="405"/>
    </row>
    <row r="66" spans="1:12">
      <c r="A66" s="405"/>
      <c r="B66" s="439"/>
      <c r="C66" s="439"/>
      <c r="D66" s="439"/>
      <c r="E66" s="439"/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439"/>
      <c r="G67" s="439"/>
      <c r="H67" s="439"/>
      <c r="I67" s="439"/>
      <c r="J67" s="439"/>
      <c r="K67" s="439"/>
      <c r="L67" s="405"/>
    </row>
    <row r="68" spans="1:12" ht="11.25" customHeight="1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 ht="11.25" customHeight="1"/>
    <row r="73" spans="1:12" ht="11.25" customHeight="1"/>
  </sheetData>
  <sheetProtection algorithmName="SHA-512" hashValue="n+LopmUCewqljoKGstZPHuUVyWmdivd0/Ycjhz54dSINWey+TUIneQXl8VQj3InF/DZjUUlS+VDBgK9UCnitng==" saltValue="2KymnH9oDdMcCEFTyua0kA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6" priority="29" operator="greaterThan">
      <formula>0</formula>
    </cfRule>
  </conditionalFormatting>
  <conditionalFormatting sqref="C5:C8">
    <cfRule type="cellIs" dxfId="595" priority="27" operator="greaterThan">
      <formula>0</formula>
    </cfRule>
  </conditionalFormatting>
  <conditionalFormatting sqref="C9">
    <cfRule type="cellIs" dxfId="594" priority="30" operator="greaterThan">
      <formula>0</formula>
    </cfRule>
  </conditionalFormatting>
  <conditionalFormatting sqref="C9">
    <cfRule type="cellIs" dxfId="593" priority="31" operator="greaterThan">
      <formula>0</formula>
    </cfRule>
  </conditionalFormatting>
  <conditionalFormatting sqref="C14:C15">
    <cfRule type="cellIs" dxfId="592" priority="28" operator="greaterThan">
      <formula>0</formula>
    </cfRule>
  </conditionalFormatting>
  <conditionalFormatting sqref="J3:K20">
    <cfRule type="cellIs" dxfId="591" priority="5" operator="greaterThan">
      <formula>0</formula>
    </cfRule>
    <cfRule type="cellIs" dxfId="590" priority="22" operator="greaterThan">
      <formula>0</formula>
    </cfRule>
    <cfRule type="cellIs" dxfId="589" priority="23" operator="greaterThan">
      <formula>0</formula>
    </cfRule>
  </conditionalFormatting>
  <conditionalFormatting sqref="I3:I20">
    <cfRule type="cellIs" dxfId="588" priority="24" operator="equal">
      <formula>"НЕТ"</formula>
    </cfRule>
    <cfRule type="cellIs" dxfId="587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6" priority="19" operator="greaterThan">
      <formula>0</formula>
    </cfRule>
    <cfRule type="cellIs" dxfId="585" priority="20" operator="greaterThan">
      <formula>0</formula>
    </cfRule>
    <cfRule type="cellIs" dxfId="584" priority="21" operator="greaterThan">
      <formula>0</formula>
    </cfRule>
  </conditionalFormatting>
  <conditionalFormatting sqref="C40:E40">
    <cfRule type="cellIs" dxfId="583" priority="16" operator="greaterThan">
      <formula>0</formula>
    </cfRule>
    <cfRule type="cellIs" dxfId="582" priority="17" operator="greaterThan">
      <formula>0</formula>
    </cfRule>
    <cfRule type="cellIs" dxfId="581" priority="18" operator="greaterThan">
      <formula>0</formula>
    </cfRule>
  </conditionalFormatting>
  <conditionalFormatting sqref="C56:E57 C22:E37">
    <cfRule type="cellIs" dxfId="580" priority="14" operator="greaterThan">
      <formula>0</formula>
    </cfRule>
  </conditionalFormatting>
  <conditionalFormatting sqref="C55:E55">
    <cfRule type="cellIs" dxfId="579" priority="15" operator="greaterThan">
      <formula>0</formula>
    </cfRule>
  </conditionalFormatting>
  <conditionalFormatting sqref="C58:E58">
    <cfRule type="cellIs" dxfId="578" priority="13" operator="greaterThan">
      <formula>0</formula>
    </cfRule>
  </conditionalFormatting>
  <conditionalFormatting sqref="C55:E58">
    <cfRule type="cellIs" dxfId="577" priority="10" operator="greaterThan">
      <formula>0</formula>
    </cfRule>
    <cfRule type="cellIs" dxfId="576" priority="11" operator="greaterThan">
      <formula>0</formula>
    </cfRule>
    <cfRule type="cellIs" dxfId="575" priority="12" operator="greaterThan">
      <formula>0</formula>
    </cfRule>
  </conditionalFormatting>
  <conditionalFormatting sqref="C59:E59">
    <cfRule type="cellIs" dxfId="574" priority="9" operator="greaterThan">
      <formula>0</formula>
    </cfRule>
  </conditionalFormatting>
  <conditionalFormatting sqref="E65">
    <cfRule type="cellIs" dxfId="573" priority="4" operator="greaterThan">
      <formula>0</formula>
    </cfRule>
    <cfRule type="cellIs" dxfId="572" priority="8" operator="greaterThan">
      <formula>0</formula>
    </cfRule>
  </conditionalFormatting>
  <conditionalFormatting sqref="C2:C16">
    <cfRule type="cellIs" dxfId="571" priority="7" operator="greaterThan">
      <formula>0</formula>
    </cfRule>
  </conditionalFormatting>
  <conditionalFormatting sqref="C40:E60 C64:E64">
    <cfRule type="cellIs" dxfId="570" priority="6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1:E63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664</v>
      </c>
      <c r="C2" s="575">
        <v>0</v>
      </c>
      <c r="D2" s="1344" t="s">
        <v>593</v>
      </c>
      <c r="E2" s="1345"/>
      <c r="F2" s="1346"/>
      <c r="G2" s="405"/>
      <c r="H2" s="409" t="s">
        <v>483</v>
      </c>
      <c r="I2" s="622" t="s">
        <v>602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665</v>
      </c>
      <c r="C3" s="576">
        <v>0</v>
      </c>
      <c r="D3" s="1347"/>
      <c r="E3" s="1348"/>
      <c r="F3" s="1349"/>
      <c r="G3" s="405"/>
      <c r="H3" s="413" t="s">
        <v>487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507</v>
      </c>
      <c r="C4" s="583">
        <v>0</v>
      </c>
      <c r="D4" s="1407" t="s">
        <v>127</v>
      </c>
      <c r="E4" s="1408"/>
      <c r="F4" s="1409"/>
      <c r="G4" s="405"/>
      <c r="H4" s="418" t="s">
        <v>484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508</v>
      </c>
      <c r="C5" s="584">
        <v>0</v>
      </c>
      <c r="D5" s="1410"/>
      <c r="E5" s="1411"/>
      <c r="F5" s="1412"/>
      <c r="G5" s="405"/>
      <c r="H5" s="418" t="s">
        <v>589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672</v>
      </c>
      <c r="C6" s="582">
        <v>0</v>
      </c>
      <c r="D6" s="1413"/>
      <c r="E6" s="1414"/>
      <c r="F6" s="1415"/>
      <c r="G6" s="405"/>
      <c r="H6" s="418" t="s">
        <v>485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496</v>
      </c>
      <c r="C7" s="578">
        <v>0</v>
      </c>
      <c r="D7" s="656" t="s">
        <v>286</v>
      </c>
      <c r="E7" s="657" t="s">
        <v>254</v>
      </c>
      <c r="F7" s="1416" t="s">
        <v>595</v>
      </c>
      <c r="G7" s="405"/>
      <c r="H7" s="418" t="s">
        <v>486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497</v>
      </c>
      <c r="C8" s="581">
        <v>0</v>
      </c>
      <c r="D8" s="658" t="s">
        <v>286</v>
      </c>
      <c r="E8" s="659" t="s">
        <v>254</v>
      </c>
      <c r="F8" s="1417"/>
      <c r="G8" s="405"/>
      <c r="H8" s="418" t="s">
        <v>492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498</v>
      </c>
      <c r="C9" s="578">
        <v>0</v>
      </c>
      <c r="D9" s="656" t="s">
        <v>286</v>
      </c>
      <c r="E9" s="657" t="s">
        <v>254</v>
      </c>
      <c r="F9" s="1417"/>
      <c r="G9" s="405"/>
      <c r="H9" s="413" t="s">
        <v>588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499</v>
      </c>
      <c r="C10" s="581">
        <v>0</v>
      </c>
      <c r="D10" s="658" t="s">
        <v>286</v>
      </c>
      <c r="E10" s="659" t="s">
        <v>254</v>
      </c>
      <c r="F10" s="1417"/>
      <c r="G10" s="405"/>
      <c r="H10" s="413" t="s">
        <v>382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585</v>
      </c>
      <c r="C11" s="581">
        <v>0</v>
      </c>
      <c r="D11" s="658" t="s">
        <v>286</v>
      </c>
      <c r="E11" s="659" t="s">
        <v>254</v>
      </c>
      <c r="F11" s="1417"/>
      <c r="G11" s="405"/>
      <c r="H11" s="416" t="s">
        <v>383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586</v>
      </c>
      <c r="C12" s="585">
        <v>0</v>
      </c>
      <c r="D12" s="656" t="s">
        <v>286</v>
      </c>
      <c r="E12" s="657" t="s">
        <v>254</v>
      </c>
      <c r="F12" s="1418"/>
      <c r="G12" s="405"/>
      <c r="H12" s="416" t="s">
        <v>384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587</v>
      </c>
      <c r="C13" s="548">
        <v>0</v>
      </c>
      <c r="D13" s="433" t="s">
        <v>617</v>
      </c>
      <c r="E13" s="434" t="s">
        <v>618</v>
      </c>
      <c r="F13" s="436" t="s">
        <v>619</v>
      </c>
      <c r="G13" s="405"/>
      <c r="H13" s="416" t="s">
        <v>590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392</v>
      </c>
      <c r="C14" s="579">
        <v>0</v>
      </c>
      <c r="D14" s="661" t="s">
        <v>393</v>
      </c>
      <c r="E14" s="662" t="s">
        <v>394</v>
      </c>
      <c r="F14" s="1401"/>
      <c r="G14" s="405"/>
      <c r="H14" s="416" t="s">
        <v>590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541</v>
      </c>
      <c r="C15" s="577">
        <v>0</v>
      </c>
      <c r="D15" s="664" t="s">
        <v>286</v>
      </c>
      <c r="E15" s="665" t="s">
        <v>254</v>
      </c>
      <c r="F15" s="1402"/>
      <c r="G15" s="405"/>
      <c r="H15" s="413" t="s">
        <v>387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357</v>
      </c>
      <c r="C16" s="580">
        <v>0</v>
      </c>
      <c r="D16" s="664" t="s">
        <v>416</v>
      </c>
      <c r="E16" s="665" t="s">
        <v>417</v>
      </c>
      <c r="F16" s="1403"/>
      <c r="G16" s="405"/>
      <c r="H16" s="416" t="s">
        <v>388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360</v>
      </c>
      <c r="C17" s="578">
        <v>0</v>
      </c>
      <c r="D17" s="666" t="s">
        <v>286</v>
      </c>
      <c r="E17" s="667" t="s">
        <v>254</v>
      </c>
      <c r="F17" s="1352" t="s">
        <v>595</v>
      </c>
      <c r="G17" s="405"/>
      <c r="H17" s="416" t="s">
        <v>389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361</v>
      </c>
      <c r="C18" s="581">
        <v>0</v>
      </c>
      <c r="D18" s="658" t="s">
        <v>286</v>
      </c>
      <c r="E18" s="659" t="s">
        <v>254</v>
      </c>
      <c r="F18" s="1353"/>
      <c r="G18" s="405"/>
      <c r="H18" s="413" t="s">
        <v>591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466</v>
      </c>
      <c r="C19" s="581">
        <v>0</v>
      </c>
      <c r="D19" s="658" t="s">
        <v>286</v>
      </c>
      <c r="E19" s="659" t="s">
        <v>254</v>
      </c>
      <c r="F19" s="1353"/>
      <c r="G19" s="405"/>
      <c r="H19" s="437" t="s">
        <v>592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465</v>
      </c>
      <c r="C20" s="581">
        <v>0</v>
      </c>
      <c r="D20" s="668" t="s">
        <v>286</v>
      </c>
      <c r="E20" s="669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122</v>
      </c>
      <c r="C21" s="577">
        <v>0</v>
      </c>
      <c r="D21" s="1404" t="s">
        <v>673</v>
      </c>
      <c r="E21" s="1405"/>
      <c r="F21" s="1406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500</v>
      </c>
      <c r="C22" s="582">
        <v>0</v>
      </c>
      <c r="D22" s="1404" t="s">
        <v>538</v>
      </c>
      <c r="E22" s="1405"/>
      <c r="F22" s="1406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146</v>
      </c>
      <c r="C23" s="464">
        <v>0</v>
      </c>
      <c r="D23" s="1356" t="s">
        <v>684</v>
      </c>
      <c r="E23" s="1356"/>
      <c r="F23" s="1357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145</v>
      </c>
      <c r="C24" s="463">
        <v>0</v>
      </c>
      <c r="D24" s="1362" t="s">
        <v>685</v>
      </c>
      <c r="E24" s="1362"/>
      <c r="F24" s="1363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561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562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116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419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420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419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420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511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510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511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510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640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642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512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504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513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506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503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431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432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598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433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473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473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362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476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466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643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363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364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423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641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639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674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460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461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599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645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600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601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377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434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435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680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144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147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436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44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664</v>
      </c>
      <c r="C2" s="591">
        <v>0</v>
      </c>
      <c r="D2" s="1344" t="s">
        <v>593</v>
      </c>
      <c r="E2" s="1345"/>
      <c r="F2" s="1346"/>
      <c r="G2" s="481"/>
      <c r="H2" s="409" t="s">
        <v>483</v>
      </c>
      <c r="I2" s="688" t="s">
        <v>602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665</v>
      </c>
      <c r="C3" s="459">
        <v>0</v>
      </c>
      <c r="D3" s="1347"/>
      <c r="E3" s="1348"/>
      <c r="F3" s="1349"/>
      <c r="G3" s="481"/>
      <c r="H3" s="413" t="s">
        <v>487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507</v>
      </c>
      <c r="C4" s="586">
        <v>0</v>
      </c>
      <c r="D4" s="1407" t="s">
        <v>127</v>
      </c>
      <c r="E4" s="1408"/>
      <c r="F4" s="1409"/>
      <c r="G4" s="439"/>
      <c r="H4" s="418" t="s">
        <v>484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508</v>
      </c>
      <c r="C5" s="587">
        <v>0</v>
      </c>
      <c r="D5" s="1410"/>
      <c r="E5" s="1411"/>
      <c r="F5" s="1412"/>
      <c r="G5" s="439"/>
      <c r="H5" s="418" t="s">
        <v>589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672</v>
      </c>
      <c r="C6" s="588">
        <v>0</v>
      </c>
      <c r="D6" s="1413"/>
      <c r="E6" s="1414"/>
      <c r="F6" s="1415"/>
      <c r="G6" s="439"/>
      <c r="H6" s="418" t="s">
        <v>485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496</v>
      </c>
      <c r="C7" s="464">
        <v>0</v>
      </c>
      <c r="D7" s="420" t="s">
        <v>286</v>
      </c>
      <c r="E7" s="421" t="s">
        <v>254</v>
      </c>
      <c r="F7" s="1416" t="s">
        <v>595</v>
      </c>
      <c r="G7" s="439"/>
      <c r="H7" s="418" t="s">
        <v>486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497</v>
      </c>
      <c r="C8" s="461">
        <v>0</v>
      </c>
      <c r="D8" s="424" t="s">
        <v>286</v>
      </c>
      <c r="E8" s="424" t="s">
        <v>254</v>
      </c>
      <c r="F8" s="1417"/>
      <c r="G8" s="439"/>
      <c r="H8" s="418" t="s">
        <v>492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585</v>
      </c>
      <c r="C9" s="461">
        <v>0</v>
      </c>
      <c r="D9" s="424" t="s">
        <v>286</v>
      </c>
      <c r="E9" s="424" t="s">
        <v>254</v>
      </c>
      <c r="F9" s="1417"/>
      <c r="G9" s="439"/>
      <c r="H9" s="413" t="s">
        <v>588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498</v>
      </c>
      <c r="C10" s="462">
        <v>0</v>
      </c>
      <c r="D10" s="422" t="s">
        <v>286</v>
      </c>
      <c r="E10" s="423" t="s">
        <v>254</v>
      </c>
      <c r="F10" s="1417"/>
      <c r="G10" s="441"/>
      <c r="H10" s="413" t="s">
        <v>382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499</v>
      </c>
      <c r="C11" s="461">
        <v>0</v>
      </c>
      <c r="D11" s="424" t="s">
        <v>286</v>
      </c>
      <c r="E11" s="424" t="s">
        <v>254</v>
      </c>
      <c r="F11" s="1417"/>
      <c r="G11" s="453"/>
      <c r="H11" s="416" t="s">
        <v>383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586</v>
      </c>
      <c r="C12" s="513">
        <v>0</v>
      </c>
      <c r="D12" s="626" t="s">
        <v>286</v>
      </c>
      <c r="E12" s="516" t="s">
        <v>254</v>
      </c>
      <c r="F12" s="1418"/>
      <c r="G12" s="453"/>
      <c r="H12" s="416" t="s">
        <v>384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587</v>
      </c>
      <c r="C13" s="548">
        <v>0</v>
      </c>
      <c r="D13" s="433" t="s">
        <v>617</v>
      </c>
      <c r="E13" s="434" t="s">
        <v>618</v>
      </c>
      <c r="F13" s="436" t="s">
        <v>619</v>
      </c>
      <c r="G13" s="453"/>
      <c r="H13" s="416" t="s">
        <v>590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360</v>
      </c>
      <c r="C14" s="462">
        <v>0</v>
      </c>
      <c r="D14" s="422" t="s">
        <v>286</v>
      </c>
      <c r="E14" s="423" t="s">
        <v>254</v>
      </c>
      <c r="F14" s="1352" t="s">
        <v>595</v>
      </c>
      <c r="G14" s="439"/>
      <c r="H14" s="416" t="s">
        <v>590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39"/>
      <c r="H15" s="413" t="s">
        <v>387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465</v>
      </c>
      <c r="C17" s="461">
        <v>0</v>
      </c>
      <c r="D17" s="427" t="s">
        <v>286</v>
      </c>
      <c r="E17" s="428" t="s">
        <v>254</v>
      </c>
      <c r="F17" s="1354"/>
      <c r="G17" s="439"/>
      <c r="H17" s="416" t="s">
        <v>389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122</v>
      </c>
      <c r="C18" s="566">
        <v>0</v>
      </c>
      <c r="D18" s="1390" t="s">
        <v>673</v>
      </c>
      <c r="E18" s="1391"/>
      <c r="F18" s="1392"/>
      <c r="G18" s="439"/>
      <c r="H18" s="413" t="s">
        <v>591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146</v>
      </c>
      <c r="C19" s="464">
        <v>0</v>
      </c>
      <c r="D19" s="1356" t="s">
        <v>684</v>
      </c>
      <c r="E19" s="1356"/>
      <c r="F19" s="1357"/>
      <c r="G19" s="439"/>
      <c r="H19" s="437" t="s">
        <v>592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145</v>
      </c>
      <c r="C20" s="463">
        <v>0</v>
      </c>
      <c r="D20" s="1362" t="s">
        <v>685</v>
      </c>
      <c r="E20" s="1362"/>
      <c r="F20" s="1363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468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534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116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439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419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419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509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509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462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463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440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444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445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650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433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680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473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473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362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476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535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363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364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512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504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513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503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472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460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461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599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441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482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442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443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422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675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514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600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601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377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596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435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597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664</v>
      </c>
      <c r="C2" s="458">
        <v>3</v>
      </c>
      <c r="D2" s="1344" t="s">
        <v>593</v>
      </c>
      <c r="E2" s="1345"/>
      <c r="F2" s="1346"/>
      <c r="G2" s="439"/>
      <c r="H2" s="409" t="s">
        <v>483</v>
      </c>
      <c r="I2" s="410" t="s">
        <v>602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665</v>
      </c>
      <c r="C3" s="590">
        <v>1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2</v>
      </c>
      <c r="D4" s="1390" t="s">
        <v>127</v>
      </c>
      <c r="E4" s="1391"/>
      <c r="F4" s="1392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490</v>
      </c>
      <c r="C5" s="603">
        <v>0</v>
      </c>
      <c r="D5" s="422" t="s">
        <v>286</v>
      </c>
      <c r="E5" s="690" t="s">
        <v>254</v>
      </c>
      <c r="F5" s="1353" t="s">
        <v>595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491</v>
      </c>
      <c r="C6" s="602">
        <v>1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488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487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489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484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587</v>
      </c>
      <c r="C9" s="593">
        <v>0</v>
      </c>
      <c r="D9" s="433" t="s">
        <v>617</v>
      </c>
      <c r="E9" s="434" t="s">
        <v>618</v>
      </c>
      <c r="F9" s="436" t="s">
        <v>619</v>
      </c>
      <c r="G9" s="439"/>
      <c r="H9" s="418" t="s">
        <v>485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122</v>
      </c>
      <c r="C10" s="595">
        <v>1</v>
      </c>
      <c r="D10" s="1390" t="s">
        <v>673</v>
      </c>
      <c r="E10" s="1391"/>
      <c r="F10" s="1392"/>
      <c r="G10" s="439"/>
      <c r="H10" s="418" t="s">
        <v>486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357</v>
      </c>
      <c r="C11" s="593">
        <v>0</v>
      </c>
      <c r="D11" s="433" t="s">
        <v>358</v>
      </c>
      <c r="E11" s="436" t="s">
        <v>359</v>
      </c>
      <c r="F11" s="629"/>
      <c r="G11" s="439"/>
      <c r="H11" s="418" t="s">
        <v>492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500</v>
      </c>
      <c r="C12" s="596">
        <v>0</v>
      </c>
      <c r="D12" s="1390" t="s">
        <v>538</v>
      </c>
      <c r="E12" s="1391"/>
      <c r="F12" s="1392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396</v>
      </c>
      <c r="C13" s="597">
        <v>0</v>
      </c>
      <c r="D13" s="420" t="s">
        <v>286</v>
      </c>
      <c r="E13" s="625" t="s">
        <v>254</v>
      </c>
      <c r="F13" s="1365" t="s">
        <v>595</v>
      </c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397</v>
      </c>
      <c r="C14" s="598">
        <v>0</v>
      </c>
      <c r="D14" s="427" t="s">
        <v>286</v>
      </c>
      <c r="E14" s="431" t="s">
        <v>254</v>
      </c>
      <c r="F14" s="1366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146</v>
      </c>
      <c r="C15" s="464">
        <v>0</v>
      </c>
      <c r="D15" s="1355" t="s">
        <v>684</v>
      </c>
      <c r="E15" s="1356"/>
      <c r="F15" s="1357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145</v>
      </c>
      <c r="C16" s="461">
        <v>0</v>
      </c>
      <c r="D16" s="1358" t="s">
        <v>685</v>
      </c>
      <c r="E16" s="1359"/>
      <c r="F16" s="1360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142</v>
      </c>
      <c r="C17" s="463">
        <v>0</v>
      </c>
      <c r="D17" s="1361" t="s">
        <v>686</v>
      </c>
      <c r="E17" s="1362"/>
      <c r="F17" s="1363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400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401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398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399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446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501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522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540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607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612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473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479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476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450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449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366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726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725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502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503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826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504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367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615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505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506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478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385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386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376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453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374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493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379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144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147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687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827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19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664</v>
      </c>
      <c r="C2" s="606">
        <v>0</v>
      </c>
      <c r="D2" s="1344" t="s">
        <v>593</v>
      </c>
      <c r="E2" s="1345"/>
      <c r="F2" s="1346"/>
      <c r="G2" s="439"/>
      <c r="H2" s="409" t="s">
        <v>483</v>
      </c>
      <c r="I2" s="410" t="s">
        <v>602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665</v>
      </c>
      <c r="C3" s="590">
        <v>0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0</v>
      </c>
      <c r="D4" s="1390" t="s">
        <v>127</v>
      </c>
      <c r="E4" s="1391"/>
      <c r="F4" s="1392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490</v>
      </c>
      <c r="C5" s="603">
        <v>0</v>
      </c>
      <c r="D5" s="422" t="s">
        <v>286</v>
      </c>
      <c r="E5" s="690" t="s">
        <v>254</v>
      </c>
      <c r="F5" s="1353" t="s">
        <v>595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491</v>
      </c>
      <c r="C6" s="602">
        <v>0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488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487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489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484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587</v>
      </c>
      <c r="C9" s="593">
        <v>0</v>
      </c>
      <c r="D9" s="433" t="s">
        <v>617</v>
      </c>
      <c r="E9" s="434" t="s">
        <v>618</v>
      </c>
      <c r="F9" s="436" t="s">
        <v>619</v>
      </c>
      <c r="G9" s="439"/>
      <c r="H9" s="418" t="s">
        <v>485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122</v>
      </c>
      <c r="C10" s="568">
        <v>0</v>
      </c>
      <c r="D10" s="1390" t="s">
        <v>673</v>
      </c>
      <c r="E10" s="1391"/>
      <c r="F10" s="1392"/>
      <c r="G10" s="439"/>
      <c r="H10" s="418" t="s">
        <v>486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403</v>
      </c>
      <c r="C11" s="465">
        <v>0</v>
      </c>
      <c r="D11" s="433" t="s">
        <v>286</v>
      </c>
      <c r="E11" s="436" t="s">
        <v>254</v>
      </c>
      <c r="F11" s="629"/>
      <c r="G11" s="439"/>
      <c r="H11" s="418" t="s">
        <v>492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396</v>
      </c>
      <c r="C12" s="462">
        <v>0</v>
      </c>
      <c r="D12" s="420" t="s">
        <v>286</v>
      </c>
      <c r="E12" s="625" t="s">
        <v>254</v>
      </c>
      <c r="F12" s="1365" t="s">
        <v>595</v>
      </c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397</v>
      </c>
      <c r="C13" s="463">
        <v>0</v>
      </c>
      <c r="D13" s="427" t="s">
        <v>286</v>
      </c>
      <c r="E13" s="431" t="s">
        <v>254</v>
      </c>
      <c r="F13" s="1366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146</v>
      </c>
      <c r="C14" s="464">
        <v>0</v>
      </c>
      <c r="D14" s="1355" t="s">
        <v>684</v>
      </c>
      <c r="E14" s="1356"/>
      <c r="F14" s="1357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145</v>
      </c>
      <c r="C15" s="461">
        <v>0</v>
      </c>
      <c r="D15" s="1358" t="s">
        <v>685</v>
      </c>
      <c r="E15" s="1359"/>
      <c r="F15" s="1360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142</v>
      </c>
      <c r="C16" s="463">
        <v>0</v>
      </c>
      <c r="D16" s="1361" t="s">
        <v>686</v>
      </c>
      <c r="E16" s="1362"/>
      <c r="F16" s="1363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400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401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398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446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501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473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479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117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450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449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366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723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469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502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503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826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632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478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628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629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630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631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504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505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377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385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386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376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453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374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493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379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144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147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687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827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664</v>
      </c>
      <c r="C2" s="591">
        <v>2</v>
      </c>
      <c r="D2" s="1344" t="s">
        <v>593</v>
      </c>
      <c r="E2" s="1345"/>
      <c r="F2" s="1346"/>
      <c r="G2" s="439"/>
      <c r="H2" s="409" t="s">
        <v>483</v>
      </c>
      <c r="I2" s="688" t="s">
        <v>602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665</v>
      </c>
      <c r="C3" s="459">
        <v>4</v>
      </c>
      <c r="D3" s="1347"/>
      <c r="E3" s="1348"/>
      <c r="F3" s="1349"/>
      <c r="G3" s="439"/>
      <c r="H3" s="413" t="s">
        <v>487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507</v>
      </c>
      <c r="C4" s="586">
        <v>2</v>
      </c>
      <c r="D4" s="1407" t="s">
        <v>127</v>
      </c>
      <c r="E4" s="1408"/>
      <c r="F4" s="1409"/>
      <c r="G4" s="439"/>
      <c r="H4" s="418" t="s">
        <v>484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508</v>
      </c>
      <c r="C5" s="588">
        <v>0</v>
      </c>
      <c r="D5" s="1413"/>
      <c r="E5" s="1414"/>
      <c r="F5" s="1415"/>
      <c r="G5" s="439"/>
      <c r="H5" s="418" t="s">
        <v>589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496</v>
      </c>
      <c r="C6" s="607">
        <v>1</v>
      </c>
      <c r="D6" s="420" t="s">
        <v>286</v>
      </c>
      <c r="E6" s="625" t="s">
        <v>254</v>
      </c>
      <c r="F6" s="1353" t="s">
        <v>595</v>
      </c>
      <c r="G6" s="439"/>
      <c r="H6" s="418" t="s">
        <v>485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497</v>
      </c>
      <c r="C7" s="461">
        <v>0</v>
      </c>
      <c r="D7" s="424" t="s">
        <v>286</v>
      </c>
      <c r="E7" s="644" t="s">
        <v>254</v>
      </c>
      <c r="F7" s="1353"/>
      <c r="G7" s="439"/>
      <c r="H7" s="418" t="s">
        <v>486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498</v>
      </c>
      <c r="C8" s="462">
        <v>0</v>
      </c>
      <c r="D8" s="422" t="s">
        <v>286</v>
      </c>
      <c r="E8" s="690" t="s">
        <v>254</v>
      </c>
      <c r="F8" s="1353"/>
      <c r="G8" s="439"/>
      <c r="H8" s="418" t="s">
        <v>492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499</v>
      </c>
      <c r="C9" s="463">
        <v>0</v>
      </c>
      <c r="D9" s="427" t="s">
        <v>286</v>
      </c>
      <c r="E9" s="719" t="s">
        <v>254</v>
      </c>
      <c r="F9" s="1354"/>
      <c r="G9" s="439"/>
      <c r="H9" s="413" t="s">
        <v>588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587</v>
      </c>
      <c r="C10" s="548">
        <v>2</v>
      </c>
      <c r="D10" s="433" t="s">
        <v>617</v>
      </c>
      <c r="E10" s="720" t="s">
        <v>618</v>
      </c>
      <c r="F10" s="436" t="s">
        <v>619</v>
      </c>
      <c r="G10" s="439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392</v>
      </c>
      <c r="C11" s="460">
        <v>0</v>
      </c>
      <c r="D11" s="700" t="s">
        <v>393</v>
      </c>
      <c r="E11" s="718" t="s">
        <v>394</v>
      </c>
      <c r="F11" s="1420"/>
      <c r="G11" s="439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357</v>
      </c>
      <c r="C12" s="465">
        <v>0</v>
      </c>
      <c r="D12" s="433" t="s">
        <v>416</v>
      </c>
      <c r="E12" s="436" t="s">
        <v>417</v>
      </c>
      <c r="F12" s="1421"/>
      <c r="G12" s="439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122</v>
      </c>
      <c r="C13" s="566">
        <v>2</v>
      </c>
      <c r="D13" s="1390" t="s">
        <v>673</v>
      </c>
      <c r="E13" s="1391"/>
      <c r="F13" s="1392"/>
      <c r="G13" s="439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500</v>
      </c>
      <c r="C14" s="588">
        <v>0</v>
      </c>
      <c r="D14" s="1390" t="s">
        <v>538</v>
      </c>
      <c r="E14" s="1391"/>
      <c r="F14" s="1392"/>
      <c r="G14" s="439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396</v>
      </c>
      <c r="C15" s="462">
        <v>0</v>
      </c>
      <c r="D15" s="420" t="s">
        <v>286</v>
      </c>
      <c r="E15" s="625" t="s">
        <v>254</v>
      </c>
      <c r="F15" s="1365" t="s">
        <v>595</v>
      </c>
      <c r="G15" s="439"/>
      <c r="H15" s="437" t="s">
        <v>389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397</v>
      </c>
      <c r="C16" s="463">
        <v>1</v>
      </c>
      <c r="D16" s="427" t="s">
        <v>286</v>
      </c>
      <c r="E16" s="719" t="s">
        <v>254</v>
      </c>
      <c r="F16" s="1366"/>
      <c r="G16" s="439"/>
      <c r="H16" s="439"/>
      <c r="I16" s="439"/>
      <c r="J16" s="439"/>
      <c r="K16" s="439"/>
    </row>
    <row r="17" spans="1:11" ht="12" customHeight="1">
      <c r="A17" s="405"/>
      <c r="B17" s="407" t="s">
        <v>146</v>
      </c>
      <c r="C17" s="464">
        <v>0</v>
      </c>
      <c r="D17" s="1355" t="s">
        <v>684</v>
      </c>
      <c r="E17" s="1356"/>
      <c r="F17" s="1357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145</v>
      </c>
      <c r="C18" s="463">
        <v>0</v>
      </c>
      <c r="D18" s="1361" t="s">
        <v>685</v>
      </c>
      <c r="E18" s="1362"/>
      <c r="F18" s="1363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400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401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398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399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418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421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419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420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419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420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511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510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511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510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678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512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423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504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679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680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513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506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503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431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432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433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473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460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461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422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377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596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435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144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147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597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45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422"/>
      <c r="C1" s="1422"/>
      <c r="D1" s="1422"/>
      <c r="E1" s="142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549</v>
      </c>
      <c r="C2" s="458">
        <v>0</v>
      </c>
      <c r="D2" s="1344" t="s">
        <v>593</v>
      </c>
      <c r="E2" s="1345"/>
      <c r="F2" s="1346"/>
      <c r="G2" s="439"/>
      <c r="H2" s="409" t="s">
        <v>483</v>
      </c>
      <c r="I2" s="688" t="s">
        <v>602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550</v>
      </c>
      <c r="C3" s="551">
        <v>0</v>
      </c>
      <c r="D3" s="1364"/>
      <c r="E3" s="1350"/>
      <c r="F3" s="1351"/>
      <c r="G3" s="697"/>
      <c r="H3" s="413" t="s">
        <v>487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551</v>
      </c>
      <c r="C4" s="616">
        <v>0</v>
      </c>
      <c r="D4" s="1364"/>
      <c r="E4" s="1350"/>
      <c r="F4" s="1351"/>
      <c r="G4" s="439"/>
      <c r="H4" s="418" t="s">
        <v>484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552</v>
      </c>
      <c r="C5" s="459">
        <v>0</v>
      </c>
      <c r="D5" s="1347"/>
      <c r="E5" s="1348"/>
      <c r="F5" s="1349"/>
      <c r="G5" s="697"/>
      <c r="H5" s="418" t="s">
        <v>589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412</v>
      </c>
      <c r="C6" s="607">
        <v>0</v>
      </c>
      <c r="D6" s="1344" t="s">
        <v>595</v>
      </c>
      <c r="E6" s="1345"/>
      <c r="F6" s="1346"/>
      <c r="G6" s="439"/>
      <c r="H6" s="418" t="s">
        <v>485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413</v>
      </c>
      <c r="C7" s="617">
        <v>0</v>
      </c>
      <c r="D7" s="1364"/>
      <c r="E7" s="1350"/>
      <c r="F7" s="1351"/>
      <c r="G7" s="439"/>
      <c r="H7" s="418" t="s">
        <v>486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584</v>
      </c>
      <c r="C8" s="617">
        <v>0</v>
      </c>
      <c r="D8" s="1364"/>
      <c r="E8" s="1350"/>
      <c r="F8" s="1351"/>
      <c r="G8" s="439"/>
      <c r="H8" s="418" t="s">
        <v>492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414</v>
      </c>
      <c r="C9" s="549">
        <v>0</v>
      </c>
      <c r="D9" s="1364"/>
      <c r="E9" s="1350"/>
      <c r="F9" s="1351"/>
      <c r="G9" s="439"/>
      <c r="H9" s="413" t="s">
        <v>588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415</v>
      </c>
      <c r="C10" s="617">
        <v>0</v>
      </c>
      <c r="D10" s="1364"/>
      <c r="E10" s="1350"/>
      <c r="F10" s="1351"/>
      <c r="G10" s="439"/>
      <c r="H10" s="413" t="s">
        <v>382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583</v>
      </c>
      <c r="C11" s="550">
        <v>0</v>
      </c>
      <c r="D11" s="1347"/>
      <c r="E11" s="1348"/>
      <c r="F11" s="1349"/>
      <c r="G11" s="439"/>
      <c r="H11" s="416" t="s">
        <v>383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496</v>
      </c>
      <c r="C12" s="462">
        <v>0</v>
      </c>
      <c r="D12" s="422" t="s">
        <v>286</v>
      </c>
      <c r="E12" s="423" t="s">
        <v>254</v>
      </c>
      <c r="F12" s="1353" t="s">
        <v>595</v>
      </c>
      <c r="G12" s="439"/>
      <c r="H12" s="416" t="s">
        <v>384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497</v>
      </c>
      <c r="C13" s="461">
        <v>0</v>
      </c>
      <c r="D13" s="424" t="s">
        <v>286</v>
      </c>
      <c r="E13" s="425" t="s">
        <v>254</v>
      </c>
      <c r="F13" s="1353"/>
      <c r="G13" s="439"/>
      <c r="H13" s="416" t="s">
        <v>590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585</v>
      </c>
      <c r="C14" s="461">
        <v>0</v>
      </c>
      <c r="D14" s="424" t="s">
        <v>286</v>
      </c>
      <c r="E14" s="424" t="s">
        <v>254</v>
      </c>
      <c r="F14" s="1353"/>
      <c r="G14" s="439"/>
      <c r="H14" s="416" t="s">
        <v>590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498</v>
      </c>
      <c r="C15" s="462">
        <v>0</v>
      </c>
      <c r="D15" s="422" t="s">
        <v>286</v>
      </c>
      <c r="E15" s="423" t="s">
        <v>254</v>
      </c>
      <c r="F15" s="1353"/>
      <c r="G15" s="439"/>
      <c r="H15" s="413" t="s">
        <v>387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499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586</v>
      </c>
      <c r="C17" s="513">
        <v>0</v>
      </c>
      <c r="D17" s="626" t="s">
        <v>286</v>
      </c>
      <c r="E17" s="516" t="s">
        <v>254</v>
      </c>
      <c r="F17" s="1353"/>
      <c r="G17" s="439"/>
      <c r="H17" s="416" t="s">
        <v>389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587</v>
      </c>
      <c r="C18" s="548">
        <v>0</v>
      </c>
      <c r="D18" s="433" t="s">
        <v>617</v>
      </c>
      <c r="E18" s="434" t="s">
        <v>618</v>
      </c>
      <c r="F18" s="436" t="s">
        <v>619</v>
      </c>
      <c r="G18" s="439"/>
      <c r="H18" s="413" t="s">
        <v>591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360</v>
      </c>
      <c r="C19" s="462">
        <v>0</v>
      </c>
      <c r="D19" s="422" t="s">
        <v>286</v>
      </c>
      <c r="E19" s="423" t="s">
        <v>254</v>
      </c>
      <c r="F19" s="1353" t="s">
        <v>595</v>
      </c>
      <c r="G19" s="439"/>
      <c r="H19" s="437" t="s">
        <v>592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465</v>
      </c>
      <c r="C20" s="462">
        <v>0</v>
      </c>
      <c r="D20" s="422" t="s">
        <v>286</v>
      </c>
      <c r="E20" s="423" t="s">
        <v>254</v>
      </c>
      <c r="F20" s="1353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361</v>
      </c>
      <c r="C21" s="461">
        <v>0</v>
      </c>
      <c r="D21" s="424" t="s">
        <v>286</v>
      </c>
      <c r="E21" s="425" t="s">
        <v>254</v>
      </c>
      <c r="F21" s="1353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466</v>
      </c>
      <c r="C22" s="463">
        <v>0</v>
      </c>
      <c r="D22" s="427" t="s">
        <v>286</v>
      </c>
      <c r="E22" s="428" t="s">
        <v>254</v>
      </c>
      <c r="F22" s="1354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146</v>
      </c>
      <c r="C23" s="464">
        <v>0</v>
      </c>
      <c r="D23" s="1355" t="s">
        <v>684</v>
      </c>
      <c r="E23" s="1356"/>
      <c r="F23" s="1357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145</v>
      </c>
      <c r="C24" s="463">
        <v>0</v>
      </c>
      <c r="D24" s="1361" t="s">
        <v>685</v>
      </c>
      <c r="E24" s="1362"/>
      <c r="F24" s="1363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341"/>
      <c r="C25" s="1341"/>
      <c r="D25" s="1341"/>
      <c r="E25" s="1341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561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562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116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639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553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419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640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641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431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432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598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433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642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473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473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362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476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466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643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363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364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460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461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599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421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645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423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600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601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377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596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435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144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147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597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86"/>
      <c r="C1" s="1387"/>
      <c r="D1" s="1387"/>
      <c r="E1" s="1387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554</v>
      </c>
      <c r="C2" s="458">
        <v>0</v>
      </c>
      <c r="D2" s="1344" t="s">
        <v>593</v>
      </c>
      <c r="E2" s="1345"/>
      <c r="F2" s="1346"/>
      <c r="G2" s="439"/>
      <c r="H2" s="409" t="s">
        <v>483</v>
      </c>
      <c r="I2" s="688" t="s">
        <v>602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555</v>
      </c>
      <c r="C3" s="551">
        <v>0</v>
      </c>
      <c r="D3" s="1364"/>
      <c r="E3" s="1350"/>
      <c r="F3" s="1351"/>
      <c r="G3" s="439"/>
      <c r="H3" s="413" t="s">
        <v>487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556</v>
      </c>
      <c r="C4" s="619">
        <v>0</v>
      </c>
      <c r="D4" s="1364"/>
      <c r="E4" s="1350"/>
      <c r="F4" s="1351"/>
      <c r="G4" s="439"/>
      <c r="H4" s="418" t="s">
        <v>484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557</v>
      </c>
      <c r="C5" s="459">
        <v>0</v>
      </c>
      <c r="D5" s="1347"/>
      <c r="E5" s="1348"/>
      <c r="F5" s="1349"/>
      <c r="G5" s="439"/>
      <c r="H5" s="418" t="s">
        <v>589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558</v>
      </c>
      <c r="C6" s="586">
        <v>0</v>
      </c>
      <c r="D6" s="1344" t="s">
        <v>595</v>
      </c>
      <c r="E6" s="1345"/>
      <c r="F6" s="1346"/>
      <c r="G6" s="439"/>
      <c r="H6" s="418" t="s">
        <v>485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559</v>
      </c>
      <c r="C7" s="588">
        <v>0</v>
      </c>
      <c r="D7" s="1347"/>
      <c r="E7" s="1348"/>
      <c r="F7" s="1349"/>
      <c r="G7" s="439"/>
      <c r="H7" s="418" t="s">
        <v>486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496</v>
      </c>
      <c r="C8" s="549">
        <v>0</v>
      </c>
      <c r="D8" s="422" t="s">
        <v>286</v>
      </c>
      <c r="E8" s="423" t="s">
        <v>254</v>
      </c>
      <c r="F8" s="1353" t="s">
        <v>595</v>
      </c>
      <c r="G8" s="439"/>
      <c r="H8" s="418" t="s">
        <v>492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497</v>
      </c>
      <c r="C9" s="461">
        <v>0</v>
      </c>
      <c r="D9" s="424" t="s">
        <v>286</v>
      </c>
      <c r="E9" s="425" t="s">
        <v>254</v>
      </c>
      <c r="F9" s="1353"/>
      <c r="G9" s="439"/>
      <c r="H9" s="413" t="s">
        <v>588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498</v>
      </c>
      <c r="C10" s="462">
        <v>0</v>
      </c>
      <c r="D10" s="422" t="s">
        <v>286</v>
      </c>
      <c r="E10" s="423" t="s">
        <v>254</v>
      </c>
      <c r="F10" s="1353"/>
      <c r="G10" s="439"/>
      <c r="H10" s="413" t="s">
        <v>382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499</v>
      </c>
      <c r="C11" s="463">
        <v>0</v>
      </c>
      <c r="D11" s="427" t="s">
        <v>286</v>
      </c>
      <c r="E11" s="428" t="s">
        <v>254</v>
      </c>
      <c r="F11" s="1354"/>
      <c r="G11" s="439"/>
      <c r="H11" s="416" t="s">
        <v>383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587</v>
      </c>
      <c r="C12" s="548">
        <v>0</v>
      </c>
      <c r="D12" s="433" t="s">
        <v>617</v>
      </c>
      <c r="E12" s="434" t="s">
        <v>618</v>
      </c>
      <c r="F12" s="644" t="s">
        <v>619</v>
      </c>
      <c r="G12" s="439"/>
      <c r="H12" s="416" t="s">
        <v>384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396</v>
      </c>
      <c r="C13" s="462">
        <v>0</v>
      </c>
      <c r="D13" s="420" t="s">
        <v>286</v>
      </c>
      <c r="E13" s="421" t="s">
        <v>254</v>
      </c>
      <c r="F13" s="1365" t="s">
        <v>595</v>
      </c>
      <c r="G13" s="439"/>
      <c r="H13" s="413" t="s">
        <v>387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397</v>
      </c>
      <c r="C14" s="463">
        <v>0</v>
      </c>
      <c r="D14" s="427" t="s">
        <v>286</v>
      </c>
      <c r="E14" s="428" t="s">
        <v>254</v>
      </c>
      <c r="F14" s="1366"/>
      <c r="G14" s="439"/>
      <c r="H14" s="416" t="s">
        <v>388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146</v>
      </c>
      <c r="C15" s="464">
        <v>0</v>
      </c>
      <c r="D15" s="1355" t="s">
        <v>684</v>
      </c>
      <c r="E15" s="1356"/>
      <c r="F15" s="1357"/>
      <c r="G15" s="439"/>
      <c r="H15" s="437" t="s">
        <v>389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145</v>
      </c>
      <c r="C16" s="463">
        <v>0</v>
      </c>
      <c r="D16" s="1361" t="s">
        <v>685</v>
      </c>
      <c r="E16" s="1362"/>
      <c r="F16" s="1363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400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401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398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399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639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674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553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419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511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677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642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423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431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432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433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473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460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461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645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377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596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435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144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147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597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24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554</v>
      </c>
      <c r="C2" s="608">
        <v>0</v>
      </c>
      <c r="D2" s="1344" t="s">
        <v>593</v>
      </c>
      <c r="E2" s="1345"/>
      <c r="F2" s="1346"/>
      <c r="G2" s="405"/>
      <c r="H2" s="409" t="s">
        <v>483</v>
      </c>
      <c r="I2" s="688" t="s">
        <v>602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555</v>
      </c>
      <c r="C3" s="251">
        <v>0</v>
      </c>
      <c r="D3" s="1364"/>
      <c r="E3" s="1350"/>
      <c r="F3" s="1351"/>
      <c r="G3" s="405"/>
      <c r="H3" s="413" t="s">
        <v>487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556</v>
      </c>
      <c r="C4" s="618">
        <v>0</v>
      </c>
      <c r="D4" s="1364"/>
      <c r="E4" s="1350"/>
      <c r="F4" s="1351"/>
      <c r="G4" s="405"/>
      <c r="H4" s="418" t="s">
        <v>484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557</v>
      </c>
      <c r="C5" s="609">
        <v>0</v>
      </c>
      <c r="D5" s="1347"/>
      <c r="E5" s="1348"/>
      <c r="F5" s="1349"/>
      <c r="G5" s="405"/>
      <c r="H5" s="418" t="s">
        <v>589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560</v>
      </c>
      <c r="C6" s="583">
        <v>0</v>
      </c>
      <c r="D6" s="1344" t="s">
        <v>595</v>
      </c>
      <c r="E6" s="1345"/>
      <c r="F6" s="1346"/>
      <c r="G6" s="489"/>
      <c r="H6" s="418" t="s">
        <v>485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559</v>
      </c>
      <c r="C7" s="584">
        <v>0</v>
      </c>
      <c r="D7" s="1364"/>
      <c r="E7" s="1350"/>
      <c r="F7" s="1351"/>
      <c r="G7" s="523"/>
      <c r="H7" s="418" t="s">
        <v>486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676</v>
      </c>
      <c r="C8" s="582">
        <v>0</v>
      </c>
      <c r="D8" s="1347"/>
      <c r="E8" s="1348"/>
      <c r="F8" s="1349"/>
      <c r="G8" s="523"/>
      <c r="H8" s="418" t="s">
        <v>492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496</v>
      </c>
      <c r="C9" s="575">
        <v>0</v>
      </c>
      <c r="D9" s="666" t="s">
        <v>286</v>
      </c>
      <c r="E9" s="704" t="s">
        <v>254</v>
      </c>
      <c r="F9" s="1352" t="s">
        <v>595</v>
      </c>
      <c r="G9" s="405"/>
      <c r="H9" s="413" t="s">
        <v>588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497</v>
      </c>
      <c r="C10" s="581">
        <v>0</v>
      </c>
      <c r="D10" s="658" t="s">
        <v>286</v>
      </c>
      <c r="E10" s="705" t="s">
        <v>254</v>
      </c>
      <c r="F10" s="1353"/>
      <c r="G10" s="405"/>
      <c r="H10" s="413" t="s">
        <v>382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585</v>
      </c>
      <c r="C11" s="581">
        <v>0</v>
      </c>
      <c r="D11" s="658" t="s">
        <v>286</v>
      </c>
      <c r="E11" s="705" t="s">
        <v>254</v>
      </c>
      <c r="F11" s="1353"/>
      <c r="G11" s="405"/>
      <c r="H11" s="416" t="s">
        <v>383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498</v>
      </c>
      <c r="C12" s="578">
        <v>0</v>
      </c>
      <c r="D12" s="656" t="s">
        <v>286</v>
      </c>
      <c r="E12" s="706" t="s">
        <v>254</v>
      </c>
      <c r="F12" s="1353"/>
      <c r="G12" s="405"/>
      <c r="H12" s="416" t="s">
        <v>384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499</v>
      </c>
      <c r="C13" s="581">
        <v>0</v>
      </c>
      <c r="D13" s="658" t="s">
        <v>286</v>
      </c>
      <c r="E13" s="705" t="s">
        <v>254</v>
      </c>
      <c r="F13" s="1353"/>
      <c r="G13" s="405"/>
      <c r="H13" s="416" t="s">
        <v>590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586</v>
      </c>
      <c r="C14" s="585">
        <v>0</v>
      </c>
      <c r="D14" s="668" t="s">
        <v>286</v>
      </c>
      <c r="E14" s="707" t="s">
        <v>254</v>
      </c>
      <c r="F14" s="1354"/>
      <c r="G14" s="405"/>
      <c r="H14" s="416" t="s">
        <v>590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587</v>
      </c>
      <c r="C15" s="620">
        <v>0</v>
      </c>
      <c r="D15" s="626" t="s">
        <v>617</v>
      </c>
      <c r="E15" s="516" t="s">
        <v>618</v>
      </c>
      <c r="F15" s="517" t="s">
        <v>619</v>
      </c>
      <c r="G15" s="405"/>
      <c r="H15" s="413" t="s">
        <v>387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360</v>
      </c>
      <c r="C16" s="575">
        <v>0</v>
      </c>
      <c r="D16" s="666" t="s">
        <v>286</v>
      </c>
      <c r="E16" s="704" t="s">
        <v>254</v>
      </c>
      <c r="F16" s="1352" t="s">
        <v>595</v>
      </c>
      <c r="G16" s="405"/>
      <c r="H16" s="416" t="s">
        <v>388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361</v>
      </c>
      <c r="C17" s="581">
        <v>0</v>
      </c>
      <c r="D17" s="658" t="s">
        <v>286</v>
      </c>
      <c r="E17" s="705" t="s">
        <v>254</v>
      </c>
      <c r="F17" s="1353"/>
      <c r="G17" s="405"/>
      <c r="H17" s="416" t="s">
        <v>389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466</v>
      </c>
      <c r="C18" s="581">
        <v>0</v>
      </c>
      <c r="D18" s="658" t="s">
        <v>286</v>
      </c>
      <c r="E18" s="705" t="s">
        <v>254</v>
      </c>
      <c r="F18" s="1353"/>
      <c r="G18" s="405"/>
      <c r="H18" s="413" t="s">
        <v>591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465</v>
      </c>
      <c r="C19" s="576">
        <v>0</v>
      </c>
      <c r="D19" s="668" t="s">
        <v>286</v>
      </c>
      <c r="E19" s="707" t="s">
        <v>254</v>
      </c>
      <c r="F19" s="1354"/>
      <c r="G19" s="405"/>
      <c r="H19" s="437" t="s">
        <v>592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146</v>
      </c>
      <c r="C20" s="464">
        <v>0</v>
      </c>
      <c r="D20" s="1355" t="s">
        <v>684</v>
      </c>
      <c r="E20" s="1356"/>
      <c r="F20" s="1357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145</v>
      </c>
      <c r="C21" s="463">
        <v>0</v>
      </c>
      <c r="D21" s="1361" t="s">
        <v>685</v>
      </c>
      <c r="E21" s="1362"/>
      <c r="F21" s="1363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561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562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116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653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419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553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509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654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655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656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444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445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650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433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473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473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362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476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643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363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364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466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460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461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599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441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482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659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660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645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537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514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600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601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377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434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435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144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147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436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26" t="s">
        <v>842</v>
      </c>
      <c r="B1" s="1426"/>
      <c r="C1" s="1426"/>
      <c r="D1" s="1426"/>
    </row>
    <row r="2" spans="1:4">
      <c r="A2" s="108" t="s">
        <v>10</v>
      </c>
      <c r="B2" s="852">
        <v>4</v>
      </c>
      <c r="C2" s="1189" t="s">
        <v>124</v>
      </c>
      <c r="D2" s="1132"/>
    </row>
    <row r="3" spans="1:4">
      <c r="A3" s="109" t="s">
        <v>122</v>
      </c>
      <c r="B3" s="829">
        <v>1</v>
      </c>
      <c r="C3" s="1191" t="s">
        <v>30</v>
      </c>
      <c r="D3" s="1192"/>
    </row>
    <row r="4" spans="1:4">
      <c r="A4" s="813" t="s">
        <v>843</v>
      </c>
      <c r="B4" s="830">
        <v>2</v>
      </c>
      <c r="C4" s="843" t="s">
        <v>844</v>
      </c>
      <c r="D4" s="840" t="s">
        <v>845</v>
      </c>
    </row>
    <row r="5" spans="1:4">
      <c r="A5" s="813" t="s">
        <v>846</v>
      </c>
      <c r="B5" s="830">
        <v>0</v>
      </c>
      <c r="C5" s="841" t="s">
        <v>847</v>
      </c>
      <c r="D5" s="840" t="s">
        <v>848</v>
      </c>
    </row>
    <row r="6" spans="1:4" ht="24" customHeight="1">
      <c r="A6" s="813" t="s">
        <v>587</v>
      </c>
      <c r="B6" s="830">
        <v>4</v>
      </c>
      <c r="C6" s="1332" t="s">
        <v>867</v>
      </c>
      <c r="D6" s="1340"/>
    </row>
    <row r="7" spans="1:4">
      <c r="A7" s="814" t="s">
        <v>276</v>
      </c>
      <c r="B7" s="829">
        <v>0</v>
      </c>
      <c r="C7" s="1260" t="s">
        <v>30</v>
      </c>
      <c r="D7" s="1261"/>
    </row>
    <row r="8" spans="1:4" ht="12" thickBot="1">
      <c r="A8" s="1268"/>
      <c r="B8" s="1268"/>
      <c r="C8" s="1268"/>
      <c r="D8" s="1268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0" t="s">
        <v>849</v>
      </c>
      <c r="B10" s="941">
        <f>B3</f>
        <v>1</v>
      </c>
      <c r="C10" s="942"/>
      <c r="D10" s="940">
        <f t="shared" ref="D10:D36" si="0">C10*B10</f>
        <v>0</v>
      </c>
    </row>
    <row r="11" spans="1:4" ht="15.75">
      <c r="A11" s="940" t="s">
        <v>850</v>
      </c>
      <c r="B11" s="941">
        <f>IF(B3&gt;0,B3,0)</f>
        <v>1</v>
      </c>
      <c r="C11" s="942"/>
      <c r="D11" s="940">
        <f t="shared" si="0"/>
        <v>0</v>
      </c>
    </row>
    <row r="12" spans="1:4" ht="15.75">
      <c r="A12" s="940" t="s">
        <v>851</v>
      </c>
      <c r="B12" s="941">
        <f>IF(B2&lt;=1.31, 2*B3,
IF(AND(B2&gt;1.31,B2&lt;=2.2), 3*B3,
IF(AND(B2&gt;2.2,B2&lt;=3), 4*B3,
IF(AND(B2&gt;3,B2&lt;=4),5*B3,6))))</f>
        <v>5</v>
      </c>
      <c r="C12" s="942"/>
      <c r="D12" s="940">
        <f t="shared" si="0"/>
        <v>0</v>
      </c>
    </row>
    <row r="13" spans="1:4" ht="15.75">
      <c r="A13" s="940" t="s">
        <v>852</v>
      </c>
      <c r="B13" s="941">
        <f>IF(B2&lt;=1.31, 2*B3,
IF(AND(B2&gt;1.31,B2&lt;=2.2), 3*B3,
IF(AND(B2&gt;2.2,B2&lt;=3), 4*B3,
IF(AND(B2&gt;3,B2&lt;=4),5*B3,6))))</f>
        <v>5</v>
      </c>
      <c r="C13" s="942"/>
      <c r="D13" s="940">
        <f t="shared" si="0"/>
        <v>0</v>
      </c>
    </row>
    <row r="14" spans="1:4" ht="15.75">
      <c r="A14" s="940" t="s">
        <v>853</v>
      </c>
      <c r="B14" s="941">
        <f>B3</f>
        <v>1</v>
      </c>
      <c r="C14" s="942"/>
      <c r="D14" s="940">
        <f t="shared" si="0"/>
        <v>0</v>
      </c>
    </row>
    <row r="15" spans="1:4" ht="15.75">
      <c r="A15" s="940" t="s">
        <v>854</v>
      </c>
      <c r="B15" s="941">
        <f>B3</f>
        <v>1</v>
      </c>
      <c r="C15" s="942"/>
      <c r="D15" s="940">
        <f t="shared" si="0"/>
        <v>0</v>
      </c>
    </row>
    <row r="16" spans="1:4" ht="15.75">
      <c r="A16" s="940" t="s">
        <v>855</v>
      </c>
      <c r="B16" s="941">
        <f>IF(AND(B2&lt;=1.31,B4=1), 2*B3,
IF(AND(B2&gt;1.31,B2&lt;=2.2,B4=1), 3*B3,
IF(AND(B2&gt;2.2,B2&lt;=3,B4=1), 4*B3,
IF(AND(B2&gt;3,B2&lt;=4,B4=1),5*B3,0))))</f>
        <v>0</v>
      </c>
      <c r="C16" s="942"/>
      <c r="D16" s="940">
        <f t="shared" si="0"/>
        <v>0</v>
      </c>
    </row>
    <row r="17" spans="1:4" ht="15.75">
      <c r="A17" s="940" t="s">
        <v>856</v>
      </c>
      <c r="B17" s="941">
        <f>IF(AND(B2&lt;=1.31,B4=2), 2*B3,
IF(AND(B2&gt;1.31,B2&lt;=2.2,B4=2), 3*B3,
IF(AND(B2&gt;2.2,B2&lt;=3,B4=2), 4*B3,
IF(AND(B2&gt;3,B2&lt;=4,B4=2),5*B3,0))))</f>
        <v>5</v>
      </c>
      <c r="C17" s="942"/>
      <c r="D17" s="940">
        <f t="shared" si="0"/>
        <v>0</v>
      </c>
    </row>
    <row r="18" spans="1:4" ht="15.75">
      <c r="A18" s="940" t="s">
        <v>857</v>
      </c>
      <c r="B18" s="941">
        <f>IF(B2&gt;3,B3,0)</f>
        <v>1</v>
      </c>
      <c r="C18" s="942"/>
      <c r="D18" s="940">
        <f t="shared" si="0"/>
        <v>0</v>
      </c>
    </row>
    <row r="19" spans="1:4" ht="15.75">
      <c r="A19" s="940" t="s">
        <v>858</v>
      </c>
      <c r="B19" s="941">
        <f>IF(B2&lt;=1.31, 2*B3*4.5,
IF(AND(B2&gt;1.31,B2&lt;=2.2), 3*B3*4.5,
IF(AND(B2&gt;2.2,B2&lt;=3), 4*B3*4.5,
IF(AND(B2&gt;3,B2&lt;=4),5*B3*4.5,0))))</f>
        <v>22.5</v>
      </c>
      <c r="C19" s="942"/>
      <c r="D19" s="940">
        <f t="shared" si="0"/>
        <v>0</v>
      </c>
    </row>
    <row r="20" spans="1:4" ht="15.75">
      <c r="A20" s="940" t="s">
        <v>859</v>
      </c>
      <c r="B20" s="941">
        <f>IF(B2&lt;=1.31, 2*B3,
IF(AND(B2&gt;1.31,B2&lt;=2.2), 3*B3,
IF(AND(B2&gt;2.2,B2&lt;=3), 4*B3,
IF(AND(B2&gt;3,B2&lt;=4),5*B3,6))))</f>
        <v>5</v>
      </c>
      <c r="C20" s="942"/>
      <c r="D20" s="940">
        <f t="shared" si="0"/>
        <v>0</v>
      </c>
    </row>
    <row r="21" spans="1:4" ht="15.75">
      <c r="A21" s="940" t="s">
        <v>860</v>
      </c>
      <c r="B21" s="943">
        <f>IF(AND(B2&gt;=1,B2&lt;=3),B2-0.06,IF(AND(B2&gt;3,B2&lt;=5),(B2-0.037)/2,IF(AND(B2&gt;=1,B2&lt;=3),B2-0.4,IF(AND(B2&gt;3,B2&lt;=5),(B2-0.207)/2,0))))</f>
        <v>1.9815</v>
      </c>
      <c r="C21" s="944"/>
      <c r="D21" s="940">
        <f t="shared" si="0"/>
        <v>0</v>
      </c>
    </row>
    <row r="22" spans="1:4" ht="15.75">
      <c r="A22" s="940" t="s">
        <v>860</v>
      </c>
      <c r="B22" s="943">
        <f>IF(AND(B2&gt;3,B2&lt;=5),(B2-0.037)/2,IF(AND(B2&gt;3,B2&lt;=5),(B2-0.207)/2,0))</f>
        <v>1.9815</v>
      </c>
      <c r="C22" s="944"/>
      <c r="D22" s="940">
        <f t="shared" si="0"/>
        <v>0</v>
      </c>
    </row>
    <row r="23" spans="1:4" ht="15.75">
      <c r="A23" s="940" t="s">
        <v>934</v>
      </c>
      <c r="B23" s="945">
        <f>B3*2</f>
        <v>2</v>
      </c>
      <c r="C23" s="944"/>
      <c r="D23" s="940">
        <f t="shared" si="0"/>
        <v>0</v>
      </c>
    </row>
    <row r="24" spans="1:4" ht="15.75">
      <c r="A24" s="940" t="s">
        <v>935</v>
      </c>
      <c r="B24" s="945">
        <f>B3*2</f>
        <v>2</v>
      </c>
      <c r="C24" s="944"/>
      <c r="D24" s="940">
        <f t="shared" si="0"/>
        <v>0</v>
      </c>
    </row>
    <row r="25" spans="1:4" ht="15.75">
      <c r="A25" s="940" t="s">
        <v>931</v>
      </c>
      <c r="B25" s="945">
        <f>B3</f>
        <v>1</v>
      </c>
      <c r="C25" s="944"/>
      <c r="D25" s="940">
        <f t="shared" si="0"/>
        <v>0</v>
      </c>
    </row>
    <row r="26" spans="1:4" ht="15.75">
      <c r="A26" s="940" t="s">
        <v>932</v>
      </c>
      <c r="B26" s="945">
        <f>IF(B5=0,B3,0)</f>
        <v>1</v>
      </c>
      <c r="C26" s="944"/>
      <c r="D26" s="940">
        <f t="shared" si="0"/>
        <v>0</v>
      </c>
    </row>
    <row r="27" spans="1:4" ht="15.75">
      <c r="A27" s="940" t="s">
        <v>933</v>
      </c>
      <c r="B27" s="945">
        <f>B3</f>
        <v>1</v>
      </c>
      <c r="C27" s="944"/>
      <c r="D27" s="940">
        <f t="shared" si="0"/>
        <v>0</v>
      </c>
    </row>
    <row r="28" spans="1:4" ht="15.75">
      <c r="A28" s="940" t="s">
        <v>144</v>
      </c>
      <c r="B28" s="946">
        <f>B7*B3</f>
        <v>0</v>
      </c>
      <c r="C28" s="942"/>
      <c r="D28" s="940">
        <f t="shared" si="0"/>
        <v>0</v>
      </c>
    </row>
    <row r="29" spans="1:4" ht="15" customHeight="1">
      <c r="A29" s="1423" t="s">
        <v>240</v>
      </c>
      <c r="B29" s="1424"/>
      <c r="C29" s="1424"/>
      <c r="D29" s="1425"/>
    </row>
    <row r="30" spans="1:4" ht="15" customHeight="1">
      <c r="A30" s="947" t="s">
        <v>861</v>
      </c>
      <c r="B30" s="948">
        <v>0</v>
      </c>
      <c r="C30" s="949"/>
      <c r="D30" s="940">
        <f t="shared" si="0"/>
        <v>0</v>
      </c>
    </row>
    <row r="31" spans="1:4" ht="15" customHeight="1">
      <c r="A31" s="950" t="s">
        <v>862</v>
      </c>
      <c r="B31" s="948">
        <f>IF(AND(B5=0,B6=2),B3,0)</f>
        <v>0</v>
      </c>
      <c r="C31" s="949"/>
      <c r="D31" s="940">
        <f t="shared" si="0"/>
        <v>0</v>
      </c>
    </row>
    <row r="32" spans="1:4" ht="15.75">
      <c r="A32" s="950" t="s">
        <v>863</v>
      </c>
      <c r="B32" s="948">
        <v>0</v>
      </c>
      <c r="C32" s="949"/>
      <c r="D32" s="940">
        <f t="shared" si="0"/>
        <v>0</v>
      </c>
    </row>
    <row r="33" spans="1:4" ht="15.75">
      <c r="A33" s="950" t="s">
        <v>864</v>
      </c>
      <c r="B33" s="948">
        <v>0</v>
      </c>
      <c r="C33" s="949"/>
      <c r="D33" s="940">
        <f t="shared" si="0"/>
        <v>0</v>
      </c>
    </row>
    <row r="34" spans="1:4" ht="15.75">
      <c r="A34" s="951" t="s">
        <v>865</v>
      </c>
      <c r="B34" s="952">
        <f>IF(AND(B5=1,B6=5),B4,0)</f>
        <v>0</v>
      </c>
      <c r="C34" s="953"/>
      <c r="D34" s="951">
        <f t="shared" si="0"/>
        <v>0</v>
      </c>
    </row>
    <row r="35" spans="1:4" ht="15.75">
      <c r="A35" s="951" t="s">
        <v>936</v>
      </c>
      <c r="B35" s="952">
        <v>0</v>
      </c>
      <c r="C35" s="953"/>
      <c r="D35" s="951">
        <f t="shared" si="0"/>
        <v>0</v>
      </c>
    </row>
    <row r="36" spans="1:4" ht="15.75">
      <c r="A36" s="951" t="s">
        <v>866</v>
      </c>
      <c r="B36" s="952">
        <f>IF(AND(B5=1,B6=2),B3,0)</f>
        <v>0</v>
      </c>
      <c r="C36" s="953"/>
      <c r="D36" s="951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73"/>
      <c r="C3" s="1274"/>
      <c r="D3" s="1274"/>
      <c r="E3" s="1274"/>
      <c r="F3" s="936"/>
    </row>
    <row r="4" spans="2:6">
      <c r="B4" s="954" t="s">
        <v>10</v>
      </c>
      <c r="C4" s="955">
        <v>1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937</v>
      </c>
      <c r="C6" s="958">
        <v>1</v>
      </c>
      <c r="D6" s="1431" t="s">
        <v>595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24" customHeight="1" thickBot="1">
      <c r="B8" s="1038" t="s">
        <v>587</v>
      </c>
      <c r="C8" s="1039">
        <v>4</v>
      </c>
      <c r="D8" s="1437" t="s">
        <v>948</v>
      </c>
      <c r="E8" s="1438"/>
      <c r="F8" s="1439"/>
    </row>
    <row r="9" spans="2:6" ht="12" thickBot="1">
      <c r="B9" s="1037" t="s">
        <v>276</v>
      </c>
      <c r="C9" s="893">
        <v>0</v>
      </c>
      <c r="D9" s="1291" t="s">
        <v>30</v>
      </c>
      <c r="E9" s="1268"/>
      <c r="F9" s="1292"/>
    </row>
    <row r="10" spans="2:6">
      <c r="B10" s="954" t="s">
        <v>396</v>
      </c>
      <c r="C10" s="958">
        <v>0</v>
      </c>
      <c r="D10" s="510" t="s">
        <v>286</v>
      </c>
      <c r="E10" s="510" t="s">
        <v>254</v>
      </c>
      <c r="F10" s="1435" t="s">
        <v>595</v>
      </c>
    </row>
    <row r="11" spans="2:6" ht="12" thickBot="1">
      <c r="B11" s="956" t="s">
        <v>397</v>
      </c>
      <c r="C11" s="959">
        <v>0</v>
      </c>
      <c r="D11" s="960" t="s">
        <v>286</v>
      </c>
      <c r="E11" s="960" t="s">
        <v>254</v>
      </c>
      <c r="F11" s="1436"/>
    </row>
    <row r="12" spans="2:6" ht="12" thickBot="1">
      <c r="B12" s="1369"/>
      <c r="C12" s="1369"/>
      <c r="D12" s="1369"/>
      <c r="E12" s="1369"/>
      <c r="F12" s="937"/>
    </row>
    <row r="13" spans="2:6" ht="13.5" thickBot="1">
      <c r="B13" s="961" t="s">
        <v>5</v>
      </c>
      <c r="C13" s="962" t="s">
        <v>0</v>
      </c>
      <c r="D13" s="963" t="s">
        <v>4</v>
      </c>
      <c r="E13" s="964" t="s">
        <v>8</v>
      </c>
      <c r="F13" s="965"/>
    </row>
    <row r="14" spans="2:6">
      <c r="B14" s="966" t="s">
        <v>398</v>
      </c>
      <c r="C14" s="984">
        <f>IF(C10=1,2*(C6+C7),0)</f>
        <v>0</v>
      </c>
      <c r="D14" s="458"/>
      <c r="E14" s="979">
        <f>C14*D14</f>
        <v>0</v>
      </c>
      <c r="F14" s="967"/>
    </row>
    <row r="15" spans="2:6">
      <c r="B15" s="341" t="s">
        <v>399</v>
      </c>
      <c r="C15" s="985">
        <f>IF(C11=1,C6+C7,0)</f>
        <v>0</v>
      </c>
      <c r="D15" s="551"/>
      <c r="E15" s="980">
        <f t="shared" ref="E15:E36" si="0">C15*D15</f>
        <v>0</v>
      </c>
      <c r="F15" s="967"/>
    </row>
    <row r="16" spans="2:6">
      <c r="B16" s="346" t="s">
        <v>998</v>
      </c>
      <c r="C16" s="986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0">
        <f t="shared" si="0"/>
        <v>0</v>
      </c>
      <c r="F16" s="967"/>
    </row>
    <row r="17" spans="2:6">
      <c r="B17" s="346" t="s">
        <v>982</v>
      </c>
      <c r="C17" s="986">
        <f>(C6+C7)</f>
        <v>1</v>
      </c>
      <c r="D17" s="551"/>
      <c r="E17" s="980">
        <f t="shared" si="0"/>
        <v>0</v>
      </c>
      <c r="F17" s="967"/>
    </row>
    <row r="18" spans="2:6">
      <c r="B18" s="346" t="s">
        <v>975</v>
      </c>
      <c r="C18" s="986">
        <f>C6+C7</f>
        <v>1</v>
      </c>
      <c r="D18" s="551"/>
      <c r="E18" s="980">
        <f t="shared" si="0"/>
        <v>0</v>
      </c>
      <c r="F18" s="967"/>
    </row>
    <row r="19" spans="2:6">
      <c r="B19" s="341" t="s">
        <v>976</v>
      </c>
      <c r="C19" s="987">
        <f>(C6+C7)*2</f>
        <v>2</v>
      </c>
      <c r="D19" s="551"/>
      <c r="E19" s="980">
        <f t="shared" si="0"/>
        <v>0</v>
      </c>
      <c r="F19" s="967"/>
    </row>
    <row r="20" spans="2:6">
      <c r="B20" s="346" t="s">
        <v>118</v>
      </c>
      <c r="C20" s="985">
        <f>IF(C7&gt;0,C4*C7,0)</f>
        <v>0</v>
      </c>
      <c r="D20" s="551"/>
      <c r="E20" s="980">
        <f t="shared" si="0"/>
        <v>0</v>
      </c>
      <c r="F20" s="967"/>
    </row>
    <row r="21" spans="2:6">
      <c r="B21" s="346" t="s">
        <v>938</v>
      </c>
      <c r="C21" s="985">
        <f>C4*(C6+C7)</f>
        <v>1</v>
      </c>
      <c r="D21" s="551"/>
      <c r="E21" s="980">
        <f t="shared" si="0"/>
        <v>0</v>
      </c>
      <c r="F21" s="967"/>
    </row>
    <row r="22" spans="2:6">
      <c r="B22" s="341" t="s">
        <v>939</v>
      </c>
      <c r="C22" s="985">
        <f>C4*C6</f>
        <v>1</v>
      </c>
      <c r="D22" s="551"/>
      <c r="E22" s="980">
        <f t="shared" si="0"/>
        <v>0</v>
      </c>
      <c r="F22" s="967"/>
    </row>
    <row r="23" spans="2:6">
      <c r="B23" s="341" t="s">
        <v>940</v>
      </c>
      <c r="C23" s="986">
        <f>C4*C6</f>
        <v>1</v>
      </c>
      <c r="D23" s="551"/>
      <c r="E23" s="980">
        <f t="shared" si="0"/>
        <v>0</v>
      </c>
      <c r="F23" s="967"/>
    </row>
    <row r="24" spans="2:6">
      <c r="B24" s="341" t="s">
        <v>941</v>
      </c>
      <c r="C24" s="985">
        <f>C4*C7</f>
        <v>0</v>
      </c>
      <c r="D24" s="551"/>
      <c r="E24" s="980">
        <f t="shared" si="0"/>
        <v>0</v>
      </c>
      <c r="F24" s="967"/>
    </row>
    <row r="25" spans="2:6">
      <c r="B25" s="341" t="s">
        <v>977</v>
      </c>
      <c r="C25" s="985">
        <f>C4*(C6+C7)</f>
        <v>1</v>
      </c>
      <c r="D25" s="551"/>
      <c r="E25" s="980">
        <f t="shared" si="0"/>
        <v>0</v>
      </c>
      <c r="F25" s="967"/>
    </row>
    <row r="26" spans="2:6">
      <c r="B26" s="341" t="s">
        <v>986</v>
      </c>
      <c r="C26" s="985">
        <f>C6</f>
        <v>1</v>
      </c>
      <c r="D26" s="551"/>
      <c r="E26" s="980">
        <f t="shared" si="0"/>
        <v>0</v>
      </c>
      <c r="F26" s="967"/>
    </row>
    <row r="27" spans="2:6">
      <c r="B27" s="346" t="s">
        <v>987</v>
      </c>
      <c r="C27" s="986">
        <f>C7</f>
        <v>0</v>
      </c>
      <c r="D27" s="551"/>
      <c r="E27" s="980">
        <f t="shared" si="0"/>
        <v>0</v>
      </c>
      <c r="F27" s="967"/>
    </row>
    <row r="28" spans="2:6">
      <c r="B28" s="346" t="s">
        <v>787</v>
      </c>
      <c r="C28" s="986">
        <f>(C6+C7)*4</f>
        <v>4</v>
      </c>
      <c r="D28" s="551"/>
      <c r="E28" s="980">
        <f t="shared" si="0"/>
        <v>0</v>
      </c>
      <c r="F28" s="967"/>
    </row>
    <row r="29" spans="2:6">
      <c r="B29" s="346" t="s">
        <v>400</v>
      </c>
      <c r="C29" s="986">
        <f>C4*(C6+C7)</f>
        <v>1</v>
      </c>
      <c r="D29" s="551"/>
      <c r="E29" s="980">
        <f t="shared" si="0"/>
        <v>0</v>
      </c>
      <c r="F29" s="967"/>
    </row>
    <row r="30" spans="2:6">
      <c r="B30" s="346" t="s">
        <v>943</v>
      </c>
      <c r="C30" s="986">
        <f>C7</f>
        <v>0</v>
      </c>
      <c r="D30" s="551"/>
      <c r="E30" s="980">
        <f t="shared" si="0"/>
        <v>0</v>
      </c>
      <c r="F30" s="967"/>
    </row>
    <row r="31" spans="2:6">
      <c r="B31" s="346" t="s">
        <v>944</v>
      </c>
      <c r="C31" s="986">
        <f>C6</f>
        <v>1</v>
      </c>
      <c r="D31" s="551"/>
      <c r="E31" s="980">
        <f t="shared" si="0"/>
        <v>0</v>
      </c>
      <c r="F31" s="967"/>
    </row>
    <row r="32" spans="2:6">
      <c r="B32" s="346" t="s">
        <v>946</v>
      </c>
      <c r="C32" s="986">
        <f>C6+C7</f>
        <v>1</v>
      </c>
      <c r="D32" s="551"/>
      <c r="E32" s="980">
        <f t="shared" si="0"/>
        <v>0</v>
      </c>
      <c r="F32" s="967"/>
    </row>
    <row r="33" spans="2:6">
      <c r="B33" s="346" t="s">
        <v>945</v>
      </c>
      <c r="C33" s="986">
        <f>C7</f>
        <v>0</v>
      </c>
      <c r="D33" s="551"/>
      <c r="E33" s="980">
        <f t="shared" si="0"/>
        <v>0</v>
      </c>
      <c r="F33" s="967"/>
    </row>
    <row r="34" spans="2:6" ht="12.75">
      <c r="B34" s="982" t="s">
        <v>144</v>
      </c>
      <c r="C34" s="986">
        <f>C9</f>
        <v>0</v>
      </c>
      <c r="D34" s="551"/>
      <c r="E34" s="980">
        <f t="shared" si="0"/>
        <v>0</v>
      </c>
      <c r="F34" s="967"/>
    </row>
    <row r="35" spans="2:6">
      <c r="B35" s="346" t="s">
        <v>401</v>
      </c>
      <c r="C35" s="986">
        <f>IF(C11=1,C4*(C6+C7),0)</f>
        <v>0</v>
      </c>
      <c r="D35" s="551"/>
      <c r="E35" s="980">
        <f t="shared" si="0"/>
        <v>0</v>
      </c>
      <c r="F35" s="967"/>
    </row>
    <row r="36" spans="2:6" ht="12" thickBot="1">
      <c r="B36" s="971" t="s">
        <v>942</v>
      </c>
      <c r="C36" s="988">
        <f>C6</f>
        <v>1</v>
      </c>
      <c r="D36" s="590"/>
      <c r="E36" s="981">
        <f t="shared" si="0"/>
        <v>0</v>
      </c>
      <c r="F36" s="967"/>
    </row>
    <row r="37" spans="2:6" ht="13.5" thickBot="1">
      <c r="B37" s="316"/>
      <c r="C37" s="316"/>
      <c r="D37" s="384" t="s">
        <v>9</v>
      </c>
      <c r="E37" s="973">
        <f>SUMIF(E14:E36,"&gt;0",E14:E36)</f>
        <v>0</v>
      </c>
      <c r="F37" s="967"/>
    </row>
    <row r="38" spans="2:6">
      <c r="F38" s="967"/>
    </row>
    <row r="39" spans="2:6">
      <c r="F39" s="967"/>
    </row>
    <row r="40" spans="2:6" ht="15.75" thickBot="1">
      <c r="B40" s="978" t="s">
        <v>947</v>
      </c>
      <c r="F40" s="967"/>
    </row>
    <row r="41" spans="2:6" ht="12.75">
      <c r="B41" s="571" t="s">
        <v>487</v>
      </c>
      <c r="C41" s="989">
        <f>IF(C8=1,C6+C7,0)</f>
        <v>0</v>
      </c>
      <c r="D41" s="974"/>
      <c r="E41" s="574">
        <f t="shared" ref="E41:E46" si="1">C41*D41</f>
        <v>0</v>
      </c>
      <c r="F41" s="967"/>
    </row>
    <row r="42" spans="2:6" ht="12.75">
      <c r="B42" s="418" t="s">
        <v>484</v>
      </c>
      <c r="C42" s="990">
        <f>IF(C8=6,C6+C7,0)</f>
        <v>0</v>
      </c>
      <c r="D42" s="611"/>
      <c r="E42" s="323">
        <f t="shared" si="1"/>
        <v>0</v>
      </c>
      <c r="F42" s="967"/>
    </row>
    <row r="43" spans="2:6" ht="12.75">
      <c r="B43" s="418" t="s">
        <v>589</v>
      </c>
      <c r="C43" s="990">
        <f>IF(C8=5,C6+C7,0)</f>
        <v>0</v>
      </c>
      <c r="D43" s="611"/>
      <c r="E43" s="323">
        <f t="shared" si="1"/>
        <v>0</v>
      </c>
      <c r="F43" s="967"/>
    </row>
    <row r="44" spans="2:6" ht="12.75">
      <c r="B44" s="418" t="s">
        <v>485</v>
      </c>
      <c r="C44" s="990">
        <f>IF(C8=2,C6+C7,0)</f>
        <v>0</v>
      </c>
      <c r="D44" s="611"/>
      <c r="E44" s="323">
        <f t="shared" si="1"/>
        <v>0</v>
      </c>
      <c r="F44" s="967"/>
    </row>
    <row r="45" spans="2:6" ht="12.75">
      <c r="B45" s="418" t="s">
        <v>486</v>
      </c>
      <c r="C45" s="990">
        <f>IF(C8=3,C6+C7,0)</f>
        <v>0</v>
      </c>
      <c r="D45" s="611"/>
      <c r="E45" s="323">
        <f t="shared" si="1"/>
        <v>0</v>
      </c>
      <c r="F45" s="967"/>
    </row>
    <row r="46" spans="2:6" ht="13.5" thickBot="1">
      <c r="B46" s="975" t="s">
        <v>492</v>
      </c>
      <c r="C46" s="991">
        <f>IF(C8=4,C6+C7,0)</f>
        <v>1</v>
      </c>
      <c r="D46" s="976"/>
      <c r="E46" s="333">
        <f t="shared" si="1"/>
        <v>0</v>
      </c>
      <c r="F46" s="967"/>
    </row>
    <row r="47" spans="2:6" ht="13.5" thickBot="1">
      <c r="D47" s="977" t="s">
        <v>9</v>
      </c>
      <c r="E47" s="983">
        <f>SUMIF(E41:E46,"&gt;0",E41:E46)</f>
        <v>0</v>
      </c>
      <c r="F47" s="967"/>
    </row>
    <row r="48" spans="2:6">
      <c r="F48" s="967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937</v>
      </c>
      <c r="C6" s="958">
        <v>1</v>
      </c>
      <c r="D6" s="1431" t="s">
        <v>595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949</v>
      </c>
      <c r="C8" s="1040">
        <v>1</v>
      </c>
      <c r="D8" s="1041" t="s">
        <v>950</v>
      </c>
      <c r="E8" s="1042" t="s">
        <v>951</v>
      </c>
      <c r="F8" s="993"/>
    </row>
    <row r="9" spans="2:6" ht="24" customHeight="1" thickBot="1">
      <c r="B9" s="1038" t="s">
        <v>587</v>
      </c>
      <c r="C9" s="1039">
        <v>4</v>
      </c>
      <c r="D9" s="1437" t="s">
        <v>948</v>
      </c>
      <c r="E9" s="1438"/>
      <c r="F9" s="1439"/>
    </row>
    <row r="10" spans="2:6" ht="12" thickBot="1">
      <c r="B10" s="1037" t="s">
        <v>276</v>
      </c>
      <c r="C10" s="893">
        <v>0</v>
      </c>
      <c r="D10" s="1291" t="s">
        <v>30</v>
      </c>
      <c r="E10" s="1268"/>
      <c r="F10" s="1292"/>
    </row>
    <row r="11" spans="2:6" ht="11.25" customHeight="1">
      <c r="B11" s="954" t="s">
        <v>396</v>
      </c>
      <c r="C11" s="958">
        <v>0</v>
      </c>
      <c r="D11" s="510" t="s">
        <v>286</v>
      </c>
      <c r="E11" s="364" t="s">
        <v>254</v>
      </c>
      <c r="F11" s="1440" t="s">
        <v>595</v>
      </c>
    </row>
    <row r="12" spans="2:6" ht="12" thickBot="1">
      <c r="B12" s="956" t="s">
        <v>397</v>
      </c>
      <c r="C12" s="959">
        <v>0</v>
      </c>
      <c r="D12" s="960" t="s">
        <v>286</v>
      </c>
      <c r="E12" s="994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3.5" thickBot="1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>
      <c r="B15" s="966" t="s">
        <v>398</v>
      </c>
      <c r="C15" s="984">
        <f>IF(C11=1,C6+C7,0)</f>
        <v>0</v>
      </c>
      <c r="D15" s="458"/>
      <c r="E15" s="995">
        <v>0</v>
      </c>
      <c r="F15" s="967"/>
    </row>
    <row r="16" spans="2:6">
      <c r="B16" s="341" t="s">
        <v>399</v>
      </c>
      <c r="C16" s="985">
        <f>IF(C12=1,C6+C7,0)</f>
        <v>0</v>
      </c>
      <c r="D16" s="551"/>
      <c r="E16" s="996">
        <v>0</v>
      </c>
      <c r="F16" s="967"/>
    </row>
    <row r="17" spans="2:6">
      <c r="B17" s="346" t="s">
        <v>988</v>
      </c>
      <c r="C17" s="98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v>0</v>
      </c>
      <c r="F17" s="967"/>
    </row>
    <row r="18" spans="2:6">
      <c r="B18" s="346" t="s">
        <v>952</v>
      </c>
      <c r="C18" s="986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6">
        <v>0</v>
      </c>
      <c r="F18" s="967"/>
    </row>
    <row r="19" spans="2:6">
      <c r="B19" s="346" t="s">
        <v>989</v>
      </c>
      <c r="C19" s="986">
        <f>C6+C7</f>
        <v>1</v>
      </c>
      <c r="D19" s="551"/>
      <c r="E19" s="996">
        <v>0</v>
      </c>
      <c r="F19" s="967"/>
    </row>
    <row r="20" spans="2:6">
      <c r="B20" s="346" t="s">
        <v>984</v>
      </c>
      <c r="C20" s="986">
        <f>C6+C7</f>
        <v>1</v>
      </c>
      <c r="D20" s="551"/>
      <c r="E20" s="996">
        <v>0</v>
      </c>
      <c r="F20" s="967"/>
    </row>
    <row r="21" spans="2:6">
      <c r="B21" s="341" t="s">
        <v>993</v>
      </c>
      <c r="C21" s="987">
        <f>C6+C7</f>
        <v>1</v>
      </c>
      <c r="D21" s="551"/>
      <c r="E21" s="996">
        <v>0</v>
      </c>
      <c r="F21" s="967"/>
    </row>
    <row r="22" spans="2:6">
      <c r="B22" s="346" t="s">
        <v>118</v>
      </c>
      <c r="C22" s="985">
        <f>IF(C7&gt;0,C4*C7,0)</f>
        <v>0</v>
      </c>
      <c r="D22" s="551"/>
      <c r="E22" s="996">
        <v>0</v>
      </c>
      <c r="F22" s="967"/>
    </row>
    <row r="23" spans="2:6">
      <c r="B23" s="346" t="s">
        <v>938</v>
      </c>
      <c r="C23" s="985">
        <f>C4*(C6+C7)</f>
        <v>2</v>
      </c>
      <c r="D23" s="551"/>
      <c r="E23" s="996">
        <v>0</v>
      </c>
      <c r="F23" s="967"/>
    </row>
    <row r="24" spans="2:6">
      <c r="B24" s="341" t="s">
        <v>939</v>
      </c>
      <c r="C24" s="985">
        <f>C4*C6</f>
        <v>2</v>
      </c>
      <c r="D24" s="551"/>
      <c r="E24" s="996">
        <v>0</v>
      </c>
      <c r="F24" s="967"/>
    </row>
    <row r="25" spans="2:6">
      <c r="B25" s="341" t="s">
        <v>940</v>
      </c>
      <c r="C25" s="986">
        <f>C4*C6</f>
        <v>2</v>
      </c>
      <c r="D25" s="551"/>
      <c r="E25" s="996">
        <v>0</v>
      </c>
      <c r="F25" s="967"/>
    </row>
    <row r="26" spans="2:6">
      <c r="B26" s="341" t="s">
        <v>941</v>
      </c>
      <c r="C26" s="985">
        <f>C7*C4</f>
        <v>0</v>
      </c>
      <c r="D26" s="551"/>
      <c r="E26" s="996">
        <v>0</v>
      </c>
      <c r="F26" s="967"/>
    </row>
    <row r="27" spans="2:6">
      <c r="B27" s="341" t="s">
        <v>994</v>
      </c>
      <c r="C27" s="985">
        <f>C4*(C6+C7)</f>
        <v>2</v>
      </c>
      <c r="D27" s="551"/>
      <c r="E27" s="996">
        <v>0</v>
      </c>
      <c r="F27" s="967"/>
    </row>
    <row r="28" spans="2:6">
      <c r="B28" s="341" t="s">
        <v>995</v>
      </c>
      <c r="C28" s="985">
        <f>C4*(C6+C7)</f>
        <v>2</v>
      </c>
      <c r="D28" s="551"/>
      <c r="E28" s="996">
        <v>0</v>
      </c>
      <c r="F28" s="967"/>
    </row>
    <row r="29" spans="2:6">
      <c r="B29" s="341" t="s">
        <v>986</v>
      </c>
      <c r="C29" s="985">
        <f>C6</f>
        <v>1</v>
      </c>
      <c r="D29" s="551"/>
      <c r="E29" s="996">
        <v>0</v>
      </c>
      <c r="F29" s="967"/>
    </row>
    <row r="30" spans="2:6">
      <c r="B30" s="346" t="s">
        <v>987</v>
      </c>
      <c r="C30" s="986">
        <f>C7</f>
        <v>0</v>
      </c>
      <c r="D30" s="551"/>
      <c r="E30" s="996">
        <v>0</v>
      </c>
      <c r="F30" s="967"/>
    </row>
    <row r="31" spans="2:6">
      <c r="B31" s="346" t="s">
        <v>787</v>
      </c>
      <c r="C31" s="986">
        <f>(C7+C6)*4</f>
        <v>4</v>
      </c>
      <c r="D31" s="551"/>
      <c r="E31" s="996">
        <v>0</v>
      </c>
      <c r="F31" s="967"/>
    </row>
    <row r="32" spans="2:6">
      <c r="B32" s="346" t="s">
        <v>978</v>
      </c>
      <c r="C32" s="986">
        <f>(C6+C7)*4</f>
        <v>4</v>
      </c>
      <c r="D32" s="551"/>
      <c r="E32" s="996">
        <v>0</v>
      </c>
      <c r="F32" s="967"/>
    </row>
    <row r="33" spans="2:6">
      <c r="B33" s="346" t="s">
        <v>400</v>
      </c>
      <c r="C33" s="986">
        <f>C4*(C6+C7)</f>
        <v>2</v>
      </c>
      <c r="D33" s="551"/>
      <c r="E33" s="996">
        <v>0</v>
      </c>
      <c r="F33" s="967"/>
    </row>
    <row r="34" spans="2:6">
      <c r="B34" s="346" t="s">
        <v>943</v>
      </c>
      <c r="C34" s="986">
        <f>C7</f>
        <v>0</v>
      </c>
      <c r="D34" s="551"/>
      <c r="E34" s="996"/>
      <c r="F34" s="967"/>
    </row>
    <row r="35" spans="2:6">
      <c r="B35" s="346" t="s">
        <v>944</v>
      </c>
      <c r="C35" s="986">
        <f>C6</f>
        <v>1</v>
      </c>
      <c r="D35" s="551"/>
      <c r="E35" s="996"/>
      <c r="F35" s="967"/>
    </row>
    <row r="36" spans="2:6">
      <c r="B36" s="346" t="s">
        <v>946</v>
      </c>
      <c r="C36" s="986">
        <f>C6+C7</f>
        <v>1</v>
      </c>
      <c r="D36" s="551"/>
      <c r="E36" s="996"/>
      <c r="F36" s="967"/>
    </row>
    <row r="37" spans="2:6">
      <c r="B37" s="346" t="s">
        <v>945</v>
      </c>
      <c r="C37" s="986">
        <f>C7</f>
        <v>0</v>
      </c>
      <c r="D37" s="551"/>
      <c r="E37" s="996"/>
      <c r="F37" s="967"/>
    </row>
    <row r="38" spans="2:6" ht="12.75">
      <c r="B38" s="982" t="s">
        <v>144</v>
      </c>
      <c r="C38" s="986">
        <f>C10</f>
        <v>0</v>
      </c>
      <c r="D38" s="551"/>
      <c r="E38" s="996"/>
      <c r="F38" s="967"/>
    </row>
    <row r="39" spans="2:6">
      <c r="B39" s="346" t="s">
        <v>401</v>
      </c>
      <c r="C39" s="986">
        <f>IF(C12=1,C4*(C6+C7),0)</f>
        <v>0</v>
      </c>
      <c r="D39" s="551"/>
      <c r="E39" s="996">
        <v>0</v>
      </c>
      <c r="F39" s="967"/>
    </row>
    <row r="40" spans="2:6" ht="12" thickBot="1">
      <c r="B40" s="971" t="s">
        <v>942</v>
      </c>
      <c r="C40" s="988">
        <f>C6</f>
        <v>1</v>
      </c>
      <c r="D40" s="590"/>
      <c r="E40" s="997">
        <v>0</v>
      </c>
      <c r="F40" s="967"/>
    </row>
    <row r="41" spans="2:6" ht="13.5" thickBot="1">
      <c r="B41" s="316"/>
      <c r="C41" s="316"/>
      <c r="D41" s="384" t="s">
        <v>9</v>
      </c>
      <c r="E41" s="973">
        <f>SUMIF(E15:E40,"&gt;0",E15:E40)</f>
        <v>0</v>
      </c>
      <c r="F41" s="967"/>
    </row>
    <row r="42" spans="2:6">
      <c r="F42" s="967"/>
    </row>
    <row r="43" spans="2:6" ht="15.75" thickBot="1">
      <c r="B43" s="978" t="s">
        <v>947</v>
      </c>
      <c r="F43" s="967"/>
    </row>
    <row r="44" spans="2:6" ht="12.75">
      <c r="B44" s="571" t="s">
        <v>487</v>
      </c>
      <c r="C44" s="989">
        <f>IF(C9=1,C6+C7,0)</f>
        <v>0</v>
      </c>
      <c r="D44" s="974"/>
      <c r="E44" s="574">
        <f t="shared" ref="E44:E49" si="0">C44*D44</f>
        <v>0</v>
      </c>
      <c r="F44" s="967"/>
    </row>
    <row r="45" spans="2:6" ht="12.75">
      <c r="B45" s="418" t="s">
        <v>484</v>
      </c>
      <c r="C45" s="990">
        <f>IF(C9=6,C6+C7,0)</f>
        <v>0</v>
      </c>
      <c r="D45" s="611"/>
      <c r="E45" s="323">
        <f t="shared" si="0"/>
        <v>0</v>
      </c>
      <c r="F45" s="967"/>
    </row>
    <row r="46" spans="2:6" ht="12.75">
      <c r="B46" s="418" t="s">
        <v>589</v>
      </c>
      <c r="C46" s="990">
        <f>IF(C9=5,C6+C7,0)</f>
        <v>0</v>
      </c>
      <c r="D46" s="611"/>
      <c r="E46" s="323">
        <f t="shared" si="0"/>
        <v>0</v>
      </c>
      <c r="F46" s="967"/>
    </row>
    <row r="47" spans="2:6" ht="12.75">
      <c r="B47" s="418" t="s">
        <v>485</v>
      </c>
      <c r="C47" s="990">
        <f>IF(C9=2,C6+C7,0)</f>
        <v>0</v>
      </c>
      <c r="D47" s="611"/>
      <c r="E47" s="323">
        <f t="shared" si="0"/>
        <v>0</v>
      </c>
      <c r="F47" s="967"/>
    </row>
    <row r="48" spans="2:6" ht="12.75">
      <c r="B48" s="418" t="s">
        <v>486</v>
      </c>
      <c r="C48" s="990">
        <f>IF(C9=3,C6+C7,0)</f>
        <v>0</v>
      </c>
      <c r="D48" s="611"/>
      <c r="E48" s="323">
        <f t="shared" si="0"/>
        <v>0</v>
      </c>
      <c r="F48" s="967"/>
    </row>
    <row r="49" spans="2:6" ht="13.5" thickBot="1">
      <c r="B49" s="975" t="s">
        <v>492</v>
      </c>
      <c r="C49" s="991">
        <f>IF(C9=4,C6+C7,0)</f>
        <v>1</v>
      </c>
      <c r="D49" s="976"/>
      <c r="E49" s="333">
        <f t="shared" si="0"/>
        <v>0</v>
      </c>
      <c r="F49" s="967"/>
    </row>
    <row r="50" spans="2:6" ht="13.5" thickBot="1">
      <c r="D50" s="977" t="s">
        <v>9</v>
      </c>
      <c r="E50" s="983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955</v>
      </c>
      <c r="C4" s="955">
        <v>2</v>
      </c>
      <c r="D4" s="1371" t="s">
        <v>593</v>
      </c>
      <c r="E4" s="1372"/>
      <c r="F4" s="1373"/>
    </row>
    <row r="5" spans="2:6" ht="12" thickBot="1">
      <c r="B5" s="956" t="s">
        <v>556</v>
      </c>
      <c r="C5" s="957">
        <v>0</v>
      </c>
      <c r="D5" s="1442"/>
      <c r="E5" s="1443"/>
      <c r="F5" s="1444"/>
    </row>
    <row r="6" spans="2:6">
      <c r="B6" s="954" t="s">
        <v>956</v>
      </c>
      <c r="C6" s="955">
        <v>4</v>
      </c>
      <c r="D6" s="1442"/>
      <c r="E6" s="1443"/>
      <c r="F6" s="1444"/>
    </row>
    <row r="7" spans="2:6" ht="12" thickBot="1">
      <c r="B7" s="956" t="s">
        <v>557</v>
      </c>
      <c r="C7" s="957">
        <v>0</v>
      </c>
      <c r="D7" s="1374"/>
      <c r="E7" s="1375"/>
      <c r="F7" s="1376"/>
    </row>
    <row r="8" spans="2:6">
      <c r="B8" s="954" t="s">
        <v>937</v>
      </c>
      <c r="C8" s="958">
        <v>1</v>
      </c>
      <c r="D8" s="1431" t="s">
        <v>595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949</v>
      </c>
      <c r="C10" s="1040">
        <v>1</v>
      </c>
      <c r="D10" s="1041" t="s">
        <v>950</v>
      </c>
      <c r="E10" s="1042" t="s">
        <v>951</v>
      </c>
      <c r="F10" s="993"/>
    </row>
    <row r="11" spans="2:6" ht="21.75" customHeight="1" thickBot="1">
      <c r="B11" s="1038" t="s">
        <v>587</v>
      </c>
      <c r="C11" s="1039">
        <v>4</v>
      </c>
      <c r="D11" s="1437" t="s">
        <v>948</v>
      </c>
      <c r="E11" s="1438"/>
      <c r="F11" s="1439"/>
    </row>
    <row r="12" spans="2:6" ht="12" thickBot="1">
      <c r="B12" s="1037" t="s">
        <v>276</v>
      </c>
      <c r="C12" s="893">
        <v>0</v>
      </c>
      <c r="D12" s="1291" t="s">
        <v>30</v>
      </c>
      <c r="E12" s="1268"/>
      <c r="F12" s="1292"/>
    </row>
    <row r="13" spans="2:6">
      <c r="B13" s="954" t="s">
        <v>396</v>
      </c>
      <c r="C13" s="958">
        <v>0</v>
      </c>
      <c r="D13" s="510" t="s">
        <v>286</v>
      </c>
      <c r="E13" s="364" t="s">
        <v>254</v>
      </c>
      <c r="F13" s="1440" t="s">
        <v>595</v>
      </c>
    </row>
    <row r="14" spans="2:6" ht="12" thickBot="1">
      <c r="B14" s="956" t="s">
        <v>397</v>
      </c>
      <c r="C14" s="959">
        <v>0</v>
      </c>
      <c r="D14" s="960" t="s">
        <v>286</v>
      </c>
      <c r="E14" s="994" t="s">
        <v>254</v>
      </c>
      <c r="F14" s="1441"/>
    </row>
    <row r="15" spans="2:6" ht="12" thickBot="1">
      <c r="B15" s="1369"/>
      <c r="C15" s="1369"/>
      <c r="D15" s="1369"/>
      <c r="E15" s="1369"/>
      <c r="F15" s="939"/>
    </row>
    <row r="16" spans="2:6" ht="13.5" thickBot="1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966" t="s">
        <v>398</v>
      </c>
      <c r="C17" s="998">
        <f>C13*2*(C8+C9)*2</f>
        <v>0</v>
      </c>
      <c r="D17" s="458"/>
      <c r="E17" s="995">
        <f t="shared" ref="E17:E44" si="0">D17*C17</f>
        <v>0</v>
      </c>
      <c r="F17" s="967"/>
    </row>
    <row r="18" spans="2:6">
      <c r="B18" s="341" t="s">
        <v>399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988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6">
        <f t="shared" si="0"/>
        <v>0</v>
      </c>
      <c r="F19" s="967"/>
    </row>
    <row r="20" spans="2:6">
      <c r="B20" s="346" t="s">
        <v>952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6">
        <f t="shared" si="0"/>
        <v>0</v>
      </c>
      <c r="F20" s="967"/>
    </row>
    <row r="21" spans="2:6">
      <c r="B21" s="346" t="s">
        <v>992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996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957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984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993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IF(C9&gt;0,(C4+C6)*C9,0)</f>
        <v>0</v>
      </c>
      <c r="D26" s="551"/>
      <c r="E26" s="996">
        <f t="shared" si="0"/>
        <v>0</v>
      </c>
      <c r="F26" s="967"/>
    </row>
    <row r="27" spans="2:6">
      <c r="B27" s="346" t="s">
        <v>938</v>
      </c>
      <c r="C27" s="342">
        <f>(C4+C6)*(C8+C9)</f>
        <v>6</v>
      </c>
      <c r="D27" s="551"/>
      <c r="E27" s="996">
        <f t="shared" si="0"/>
        <v>0</v>
      </c>
      <c r="F27" s="967"/>
    </row>
    <row r="28" spans="2:6">
      <c r="B28" s="341" t="s">
        <v>939</v>
      </c>
      <c r="C28" s="342">
        <f>(C4+C6)*C8</f>
        <v>6</v>
      </c>
      <c r="D28" s="551"/>
      <c r="E28" s="996">
        <f t="shared" si="0"/>
        <v>0</v>
      </c>
      <c r="F28" s="967"/>
    </row>
    <row r="29" spans="2:6">
      <c r="B29" s="341" t="s">
        <v>940</v>
      </c>
      <c r="C29" s="347">
        <f>(C4+C6)*C8</f>
        <v>6</v>
      </c>
      <c r="D29" s="551"/>
      <c r="E29" s="996">
        <f t="shared" si="0"/>
        <v>0</v>
      </c>
      <c r="F29" s="967"/>
    </row>
    <row r="30" spans="2:6">
      <c r="B30" s="341" t="s">
        <v>941</v>
      </c>
      <c r="C30" s="342">
        <f>(C4+C6)*C9</f>
        <v>0</v>
      </c>
      <c r="D30" s="551"/>
      <c r="E30" s="996">
        <f t="shared" si="0"/>
        <v>0</v>
      </c>
      <c r="F30" s="967"/>
    </row>
    <row r="31" spans="2:6">
      <c r="B31" s="346" t="s">
        <v>943</v>
      </c>
      <c r="C31" s="347">
        <f>C9</f>
        <v>0</v>
      </c>
      <c r="D31" s="551"/>
      <c r="E31" s="996"/>
      <c r="F31" s="967"/>
    </row>
    <row r="32" spans="2:6">
      <c r="B32" s="346" t="s">
        <v>944</v>
      </c>
      <c r="C32" s="347">
        <f>C8</f>
        <v>1</v>
      </c>
      <c r="D32" s="551"/>
      <c r="E32" s="996"/>
      <c r="F32" s="967"/>
    </row>
    <row r="33" spans="2:6">
      <c r="B33" s="346" t="s">
        <v>946</v>
      </c>
      <c r="C33" s="347">
        <f>C8+C9</f>
        <v>1</v>
      </c>
      <c r="D33" s="551"/>
      <c r="E33" s="996"/>
      <c r="F33" s="967"/>
    </row>
    <row r="34" spans="2:6">
      <c r="B34" s="346" t="s">
        <v>945</v>
      </c>
      <c r="C34" s="347">
        <f>C5</f>
        <v>0</v>
      </c>
      <c r="D34" s="551"/>
      <c r="E34" s="996"/>
      <c r="F34" s="967"/>
    </row>
    <row r="35" spans="2:6" ht="12.75">
      <c r="B35" s="982" t="s">
        <v>144</v>
      </c>
      <c r="C35" s="347">
        <f>C12</f>
        <v>0</v>
      </c>
      <c r="D35" s="551"/>
      <c r="E35" s="996"/>
      <c r="F35" s="967"/>
    </row>
    <row r="36" spans="2:6">
      <c r="B36" s="341" t="s">
        <v>994</v>
      </c>
      <c r="C36" s="342">
        <f>(C8+C9)*C4</f>
        <v>2</v>
      </c>
      <c r="D36" s="551"/>
      <c r="E36" s="996">
        <f t="shared" si="0"/>
        <v>0</v>
      </c>
      <c r="F36" s="967"/>
    </row>
    <row r="37" spans="2:6">
      <c r="B37" s="341" t="s">
        <v>995</v>
      </c>
      <c r="C37" s="342">
        <f>(C8+C9)*C4</f>
        <v>2</v>
      </c>
      <c r="D37" s="551"/>
      <c r="E37" s="996">
        <f t="shared" si="0"/>
        <v>0</v>
      </c>
      <c r="F37" s="967"/>
    </row>
    <row r="38" spans="2:6">
      <c r="B38" s="341" t="s">
        <v>997</v>
      </c>
      <c r="C38" s="342">
        <f>C8*2</f>
        <v>2</v>
      </c>
      <c r="D38" s="551"/>
      <c r="E38" s="996">
        <f t="shared" si="0"/>
        <v>0</v>
      </c>
      <c r="F38" s="967"/>
    </row>
    <row r="39" spans="2:6">
      <c r="B39" s="346" t="s">
        <v>890</v>
      </c>
      <c r="C39" s="347">
        <f>(C9+C8)*2</f>
        <v>2</v>
      </c>
      <c r="D39" s="551"/>
      <c r="E39" s="996">
        <f t="shared" ref="E39" si="1">D39*C39</f>
        <v>0</v>
      </c>
      <c r="F39" s="967"/>
    </row>
    <row r="40" spans="2:6">
      <c r="B40" s="346" t="s">
        <v>978</v>
      </c>
      <c r="C40" s="347">
        <f>(C8+C9)*4</f>
        <v>4</v>
      </c>
      <c r="D40" s="551"/>
      <c r="E40" s="996">
        <f t="shared" si="0"/>
        <v>0</v>
      </c>
      <c r="F40" s="967"/>
    </row>
    <row r="41" spans="2:6">
      <c r="B41" s="346" t="s">
        <v>787</v>
      </c>
      <c r="C41" s="347">
        <f>(C8+C9)*4</f>
        <v>4</v>
      </c>
      <c r="D41" s="551"/>
      <c r="E41" s="996">
        <f t="shared" si="0"/>
        <v>0</v>
      </c>
      <c r="F41" s="967"/>
    </row>
    <row r="42" spans="2:6">
      <c r="B42" s="346" t="s">
        <v>400</v>
      </c>
      <c r="C42" s="347">
        <f>(C8+C9)*(C4+C6)</f>
        <v>6</v>
      </c>
      <c r="D42" s="551"/>
      <c r="E42" s="996">
        <f t="shared" si="0"/>
        <v>0</v>
      </c>
      <c r="F42" s="967"/>
    </row>
    <row r="43" spans="2:6">
      <c r="B43" s="346" t="s">
        <v>401</v>
      </c>
      <c r="C43" s="347">
        <f>C14*(C4+C6)*(C8+C9)</f>
        <v>0</v>
      </c>
      <c r="D43" s="551"/>
      <c r="E43" s="996">
        <f t="shared" si="0"/>
        <v>0</v>
      </c>
      <c r="F43" s="967"/>
    </row>
    <row r="44" spans="2:6" ht="12" thickBot="1">
      <c r="B44" s="971" t="s">
        <v>942</v>
      </c>
      <c r="C44" s="402">
        <f>C5</f>
        <v>0</v>
      </c>
      <c r="D44" s="590"/>
      <c r="E44" s="997">
        <f t="shared" si="0"/>
        <v>0</v>
      </c>
      <c r="F44" s="967"/>
    </row>
    <row r="45" spans="2:6" ht="13.5" thickBot="1">
      <c r="B45" s="316"/>
      <c r="C45" s="316"/>
      <c r="D45" s="384" t="s">
        <v>9</v>
      </c>
      <c r="E45" s="973">
        <f>SUMIF(E17:E44,"&gt;0",E17:E44)</f>
        <v>0</v>
      </c>
      <c r="F45" s="967"/>
    </row>
    <row r="46" spans="2:6">
      <c r="F46" s="967"/>
    </row>
    <row r="47" spans="2:6">
      <c r="F47" s="967"/>
    </row>
    <row r="48" spans="2:6" ht="15.75" thickBot="1">
      <c r="B48" s="978" t="s">
        <v>947</v>
      </c>
      <c r="F48" s="967"/>
    </row>
    <row r="49" spans="2:6" ht="12.75">
      <c r="B49" s="571" t="s">
        <v>487</v>
      </c>
      <c r="C49" s="989">
        <f>IF(C11=1,C8+C9,0)</f>
        <v>0</v>
      </c>
      <c r="D49" s="974"/>
      <c r="E49" s="574">
        <f t="shared" ref="E49:E54" si="2">C49*D49</f>
        <v>0</v>
      </c>
      <c r="F49" s="967"/>
    </row>
    <row r="50" spans="2:6" ht="12.75">
      <c r="B50" s="418" t="s">
        <v>484</v>
      </c>
      <c r="C50" s="990">
        <f>IF(C11=6,C8+C9,0)</f>
        <v>0</v>
      </c>
      <c r="D50" s="611"/>
      <c r="E50" s="323">
        <f t="shared" si="2"/>
        <v>0</v>
      </c>
      <c r="F50" s="967"/>
    </row>
    <row r="51" spans="2:6" ht="12.75">
      <c r="B51" s="418" t="s">
        <v>589</v>
      </c>
      <c r="C51" s="990">
        <f>IF(C11=5,C8+C9,0)</f>
        <v>0</v>
      </c>
      <c r="D51" s="611"/>
      <c r="E51" s="323">
        <f t="shared" si="2"/>
        <v>0</v>
      </c>
      <c r="F51" s="967"/>
    </row>
    <row r="52" spans="2:6" ht="12.75">
      <c r="B52" s="418" t="s">
        <v>485</v>
      </c>
      <c r="C52" s="990">
        <f>IF(C11=2,C8+C9,0)</f>
        <v>0</v>
      </c>
      <c r="D52" s="611"/>
      <c r="E52" s="323">
        <f t="shared" si="2"/>
        <v>0</v>
      </c>
    </row>
    <row r="53" spans="2:6" ht="12.75">
      <c r="B53" s="418" t="s">
        <v>486</v>
      </c>
      <c r="C53" s="990">
        <f>IF(C11=3,C8+C9,0)</f>
        <v>0</v>
      </c>
      <c r="D53" s="611"/>
      <c r="E53" s="323">
        <f t="shared" si="2"/>
        <v>0</v>
      </c>
    </row>
    <row r="54" spans="2:6" ht="13.5" thickBot="1">
      <c r="B54" s="975" t="s">
        <v>492</v>
      </c>
      <c r="C54" s="991">
        <f>IF(C11=4,C8+C9,0)</f>
        <v>1</v>
      </c>
      <c r="D54" s="976"/>
      <c r="E54" s="333">
        <f t="shared" si="2"/>
        <v>0</v>
      </c>
    </row>
    <row r="55" spans="2:6" ht="13.5" thickBot="1">
      <c r="D55" s="977" t="s">
        <v>9</v>
      </c>
      <c r="E55" s="983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958</v>
      </c>
      <c r="C4" s="955">
        <v>5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 ht="12" thickBot="1">
      <c r="B6" s="999" t="s">
        <v>959</v>
      </c>
      <c r="C6" s="958">
        <v>0</v>
      </c>
      <c r="D6" s="1431" t="s">
        <v>960</v>
      </c>
      <c r="E6" s="1431"/>
      <c r="F6" s="1432"/>
    </row>
    <row r="7" spans="2:6" ht="12" thickBot="1">
      <c r="B7" s="999" t="s">
        <v>508</v>
      </c>
      <c r="C7" s="959">
        <v>2</v>
      </c>
      <c r="D7" s="1433"/>
      <c r="E7" s="1433"/>
      <c r="F7" s="1434"/>
    </row>
    <row r="8" spans="2:6" ht="12" thickBot="1">
      <c r="B8" s="1000" t="s">
        <v>961</v>
      </c>
      <c r="C8" s="1001">
        <v>1</v>
      </c>
      <c r="D8" s="1445" t="s">
        <v>962</v>
      </c>
      <c r="E8" s="1446"/>
      <c r="F8" s="1447"/>
    </row>
    <row r="9" spans="2:6" ht="12" thickBot="1">
      <c r="B9" s="992" t="s">
        <v>949</v>
      </c>
      <c r="C9" s="1040">
        <v>1</v>
      </c>
      <c r="D9" s="1041" t="s">
        <v>950</v>
      </c>
      <c r="E9" s="1042" t="s">
        <v>951</v>
      </c>
      <c r="F9" s="993"/>
    </row>
    <row r="10" spans="2:6" ht="24" customHeight="1" thickBot="1">
      <c r="B10" s="1038" t="s">
        <v>587</v>
      </c>
      <c r="C10" s="1039">
        <v>4</v>
      </c>
      <c r="D10" s="1437" t="s">
        <v>948</v>
      </c>
      <c r="E10" s="1438"/>
      <c r="F10" s="1439"/>
    </row>
    <row r="11" spans="2:6" ht="10.5" customHeight="1" thickBot="1">
      <c r="B11" s="1037" t="s">
        <v>276</v>
      </c>
      <c r="C11" s="893">
        <v>0</v>
      </c>
      <c r="D11" s="1291" t="s">
        <v>30</v>
      </c>
      <c r="E11" s="1268"/>
      <c r="F11" s="1292"/>
    </row>
    <row r="12" spans="2:6">
      <c r="B12" s="954" t="s">
        <v>396</v>
      </c>
      <c r="C12" s="958">
        <v>0</v>
      </c>
      <c r="D12" s="510" t="s">
        <v>286</v>
      </c>
      <c r="E12" s="364" t="s">
        <v>254</v>
      </c>
      <c r="F12" s="1440" t="s">
        <v>595</v>
      </c>
    </row>
    <row r="13" spans="2:6" ht="12" thickBot="1">
      <c r="B13" s="956" t="s">
        <v>397</v>
      </c>
      <c r="C13" s="959">
        <v>0</v>
      </c>
      <c r="D13" s="960" t="s">
        <v>286</v>
      </c>
      <c r="E13" s="994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966" t="s">
        <v>398</v>
      </c>
      <c r="C16" s="998">
        <f>C12*2*(C6+C7)*C8</f>
        <v>0</v>
      </c>
      <c r="D16" s="458"/>
      <c r="E16" s="995">
        <f t="shared" ref="E16:E46" si="0">D16*C16</f>
        <v>0</v>
      </c>
      <c r="F16" s="967"/>
    </row>
    <row r="17" spans="2:6">
      <c r="B17" s="341" t="s">
        <v>399</v>
      </c>
      <c r="C17" s="342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988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6">
        <f t="shared" si="0"/>
        <v>0</v>
      </c>
      <c r="F18" s="967"/>
    </row>
    <row r="19" spans="2:6">
      <c r="B19" s="346" t="s">
        <v>952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6">
        <f t="shared" si="0"/>
        <v>0</v>
      </c>
      <c r="F19" s="967"/>
    </row>
    <row r="20" spans="2:6">
      <c r="B20" s="346" t="s">
        <v>989</v>
      </c>
      <c r="C20" s="347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984</v>
      </c>
      <c r="C21" s="347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990</v>
      </c>
      <c r="C22" s="347">
        <f>IF(C6&gt;0,(C6-1)*C8*2,0)</f>
        <v>0</v>
      </c>
      <c r="D22" s="551"/>
      <c r="E22" s="996">
        <f t="shared" si="0"/>
        <v>0</v>
      </c>
      <c r="F22" s="967"/>
    </row>
    <row r="23" spans="2:6">
      <c r="B23" s="346" t="s">
        <v>991</v>
      </c>
      <c r="C23" s="347">
        <f>IF(C7&gt;0,(C7-1)*C8*2,0)</f>
        <v>2</v>
      </c>
      <c r="D23" s="551"/>
      <c r="E23" s="996">
        <f t="shared" si="0"/>
        <v>0</v>
      </c>
      <c r="F23" s="967"/>
    </row>
    <row r="24" spans="2:6">
      <c r="B24" s="346" t="s">
        <v>992</v>
      </c>
      <c r="C24" s="347">
        <f>(C6+C7-1)*C8</f>
        <v>1</v>
      </c>
      <c r="D24" s="551"/>
      <c r="E24" s="996">
        <f t="shared" si="0"/>
        <v>0</v>
      </c>
      <c r="F24" s="967"/>
    </row>
    <row r="25" spans="2:6">
      <c r="B25" s="346" t="s">
        <v>963</v>
      </c>
      <c r="C25" s="347">
        <f>(C6+C7-1)*C8</f>
        <v>1</v>
      </c>
      <c r="D25" s="551"/>
      <c r="E25" s="996">
        <f t="shared" si="0"/>
        <v>0</v>
      </c>
      <c r="F25" s="967"/>
    </row>
    <row r="26" spans="2:6">
      <c r="B26" s="341" t="s">
        <v>993</v>
      </c>
      <c r="C26" s="35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342">
        <f>IF(C7&gt;0,C4*C8,0)</f>
        <v>5</v>
      </c>
      <c r="D27" s="551"/>
      <c r="E27" s="996">
        <f t="shared" si="0"/>
        <v>0</v>
      </c>
      <c r="F27" s="967"/>
    </row>
    <row r="28" spans="2:6">
      <c r="B28" s="346" t="s">
        <v>938</v>
      </c>
      <c r="C28" s="342">
        <f>C4*C8</f>
        <v>5</v>
      </c>
      <c r="D28" s="551"/>
      <c r="E28" s="996">
        <f t="shared" si="0"/>
        <v>0</v>
      </c>
      <c r="F28" s="967"/>
    </row>
    <row r="29" spans="2:6">
      <c r="B29" s="341" t="s">
        <v>939</v>
      </c>
      <c r="C29" s="342">
        <f>IF(C6&gt;0,C4*C8,0)</f>
        <v>0</v>
      </c>
      <c r="D29" s="551"/>
      <c r="E29" s="996">
        <f t="shared" si="0"/>
        <v>0</v>
      </c>
      <c r="F29" s="967"/>
    </row>
    <row r="30" spans="2:6">
      <c r="B30" s="341" t="s">
        <v>940</v>
      </c>
      <c r="C30" s="347">
        <f>IF(C6&gt;0,C4*C8,0)</f>
        <v>0</v>
      </c>
      <c r="D30" s="551"/>
      <c r="E30" s="996">
        <f t="shared" si="0"/>
        <v>0</v>
      </c>
      <c r="F30" s="967"/>
    </row>
    <row r="31" spans="2:6">
      <c r="B31" s="341" t="s">
        <v>941</v>
      </c>
      <c r="C31" s="342">
        <f>IF(C7&gt;0,C4*C8,0)</f>
        <v>5</v>
      </c>
      <c r="D31" s="551"/>
      <c r="E31" s="996">
        <f t="shared" si="0"/>
        <v>0</v>
      </c>
      <c r="F31" s="967"/>
    </row>
    <row r="32" spans="2:6">
      <c r="B32" s="346" t="s">
        <v>943</v>
      </c>
      <c r="C32" s="347">
        <f>IF(C7&gt;0,C8,0)</f>
        <v>1</v>
      </c>
      <c r="D32" s="551"/>
      <c r="E32" s="996"/>
      <c r="F32" s="967"/>
    </row>
    <row r="33" spans="2:6">
      <c r="B33" s="346" t="s">
        <v>944</v>
      </c>
      <c r="C33" s="347">
        <f>IF(C6&gt;0,C8,0)</f>
        <v>0</v>
      </c>
      <c r="D33" s="551"/>
      <c r="E33" s="996"/>
      <c r="F33" s="967"/>
    </row>
    <row r="34" spans="2:6">
      <c r="B34" s="346" t="s">
        <v>946</v>
      </c>
      <c r="C34" s="347">
        <f>C8</f>
        <v>1</v>
      </c>
      <c r="D34" s="551"/>
      <c r="E34" s="996"/>
      <c r="F34" s="967"/>
    </row>
    <row r="35" spans="2:6">
      <c r="B35" s="346" t="s">
        <v>945</v>
      </c>
      <c r="C35" s="347">
        <f>IF(C7&gt;0,C8,0)</f>
        <v>1</v>
      </c>
      <c r="D35" s="551"/>
      <c r="E35" s="996"/>
      <c r="F35" s="967"/>
    </row>
    <row r="36" spans="2:6" ht="12.75">
      <c r="B36" s="982" t="s">
        <v>144</v>
      </c>
      <c r="C36" s="347">
        <f>C11</f>
        <v>0</v>
      </c>
      <c r="D36" s="551"/>
      <c r="E36" s="996"/>
    </row>
    <row r="37" spans="2:6">
      <c r="B37" s="341" t="s">
        <v>994</v>
      </c>
      <c r="C37" s="342">
        <f>C8*C4</f>
        <v>5</v>
      </c>
      <c r="D37" s="551"/>
      <c r="E37" s="996">
        <f t="shared" si="0"/>
        <v>0</v>
      </c>
    </row>
    <row r="38" spans="2:6">
      <c r="B38" s="341" t="s">
        <v>995</v>
      </c>
      <c r="C38" s="342">
        <f>C8*C4</f>
        <v>5</v>
      </c>
      <c r="D38" s="551"/>
      <c r="E38" s="996">
        <f t="shared" si="0"/>
        <v>0</v>
      </c>
    </row>
    <row r="39" spans="2:6">
      <c r="B39" s="341" t="s">
        <v>986</v>
      </c>
      <c r="C39" s="342">
        <f>IF(C6&gt;0,C4*C8,0)</f>
        <v>0</v>
      </c>
      <c r="D39" s="551"/>
      <c r="E39" s="996">
        <f t="shared" si="0"/>
        <v>0</v>
      </c>
    </row>
    <row r="40" spans="2:6">
      <c r="B40" s="346" t="s">
        <v>987</v>
      </c>
      <c r="C40" s="347">
        <f>IF(C7&gt;0,C4*C8,0)</f>
        <v>5</v>
      </c>
      <c r="D40" s="551"/>
      <c r="E40" s="996">
        <f t="shared" si="0"/>
        <v>0</v>
      </c>
    </row>
    <row r="41" spans="2:6">
      <c r="B41" s="346" t="s">
        <v>890</v>
      </c>
      <c r="C41" s="347">
        <f>(C6+C7-1)*2*C8</f>
        <v>2</v>
      </c>
      <c r="D41" s="551"/>
      <c r="E41" s="996">
        <f t="shared" si="0"/>
        <v>0</v>
      </c>
    </row>
    <row r="42" spans="2:6">
      <c r="B42" s="346" t="s">
        <v>787</v>
      </c>
      <c r="C42" s="347">
        <f>C8*4</f>
        <v>4</v>
      </c>
      <c r="D42" s="551"/>
      <c r="E42" s="996">
        <f t="shared" ref="E42" si="1">D42*C42</f>
        <v>0</v>
      </c>
    </row>
    <row r="43" spans="2:6">
      <c r="B43" s="346" t="s">
        <v>978</v>
      </c>
      <c r="C43" s="347">
        <f>C8*4</f>
        <v>4</v>
      </c>
      <c r="D43" s="551"/>
      <c r="E43" s="996">
        <f t="shared" si="0"/>
        <v>0</v>
      </c>
    </row>
    <row r="44" spans="2:6">
      <c r="B44" s="346" t="s">
        <v>400</v>
      </c>
      <c r="C44" s="347">
        <f>C8*C4</f>
        <v>5</v>
      </c>
      <c r="D44" s="551"/>
      <c r="E44" s="996">
        <f t="shared" si="0"/>
        <v>0</v>
      </c>
    </row>
    <row r="45" spans="2:6">
      <c r="B45" s="346" t="s">
        <v>401</v>
      </c>
      <c r="C45" s="347">
        <f>C13*C4*C8</f>
        <v>0</v>
      </c>
      <c r="D45" s="551"/>
      <c r="E45" s="996">
        <f t="shared" si="0"/>
        <v>0</v>
      </c>
    </row>
    <row r="46" spans="2:6" ht="12" thickBot="1">
      <c r="B46" s="971" t="s">
        <v>942</v>
      </c>
      <c r="C46" s="402">
        <f>IF(C6&gt;0,C8,0)</f>
        <v>0</v>
      </c>
      <c r="D46" s="590"/>
      <c r="E46" s="997">
        <f t="shared" si="0"/>
        <v>0</v>
      </c>
    </row>
    <row r="47" spans="2:6" ht="13.5" thickBot="1">
      <c r="B47" s="316"/>
      <c r="C47" s="316"/>
      <c r="D47" s="384" t="s">
        <v>9</v>
      </c>
      <c r="E47" s="973">
        <f>SUMIF(E16:E46,"&gt;0",E16:E46)</f>
        <v>0</v>
      </c>
    </row>
    <row r="50" spans="2:5" ht="15.75" thickBot="1">
      <c r="B50" s="978" t="s">
        <v>947</v>
      </c>
    </row>
    <row r="51" spans="2:5" ht="12.75">
      <c r="B51" s="571" t="s">
        <v>487</v>
      </c>
      <c r="C51" s="989">
        <f>IF(C10=1,C8,0)</f>
        <v>0</v>
      </c>
      <c r="D51" s="974"/>
      <c r="E51" s="574">
        <f t="shared" ref="E51:E56" si="2">C51*D51</f>
        <v>0</v>
      </c>
    </row>
    <row r="52" spans="2:5" ht="12.75">
      <c r="B52" s="418" t="s">
        <v>484</v>
      </c>
      <c r="C52" s="990">
        <f>IF(C10=6,C8,0)</f>
        <v>0</v>
      </c>
      <c r="D52" s="611"/>
      <c r="E52" s="323">
        <f t="shared" si="2"/>
        <v>0</v>
      </c>
    </row>
    <row r="53" spans="2:5" ht="12.75">
      <c r="B53" s="418" t="s">
        <v>589</v>
      </c>
      <c r="C53" s="990">
        <f>IF(C10=5,C8,0)</f>
        <v>0</v>
      </c>
      <c r="D53" s="611"/>
      <c r="E53" s="323">
        <f t="shared" si="2"/>
        <v>0</v>
      </c>
    </row>
    <row r="54" spans="2:5" ht="12.75">
      <c r="B54" s="418" t="s">
        <v>485</v>
      </c>
      <c r="C54" s="990">
        <f>IF(C10=2,C8,0)</f>
        <v>0</v>
      </c>
      <c r="D54" s="611"/>
      <c r="E54" s="323">
        <f t="shared" si="2"/>
        <v>0</v>
      </c>
    </row>
    <row r="55" spans="2:5" ht="12.75">
      <c r="B55" s="418" t="s">
        <v>486</v>
      </c>
      <c r="C55" s="990">
        <f>IF(C10=3,C8,0)</f>
        <v>0</v>
      </c>
      <c r="D55" s="611"/>
      <c r="E55" s="323">
        <f t="shared" si="2"/>
        <v>0</v>
      </c>
    </row>
    <row r="56" spans="2:5" ht="13.5" thickBot="1">
      <c r="B56" s="975" t="s">
        <v>492</v>
      </c>
      <c r="C56" s="991">
        <f>IF(C10=4,C8,0)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937</v>
      </c>
      <c r="C6" s="958">
        <v>1</v>
      </c>
      <c r="D6" s="1431" t="s">
        <v>595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949</v>
      </c>
      <c r="C8" s="1040">
        <v>0</v>
      </c>
      <c r="D8" s="1041" t="s">
        <v>950</v>
      </c>
      <c r="E8" s="1042" t="s">
        <v>951</v>
      </c>
      <c r="F8" s="993"/>
    </row>
    <row r="9" spans="2:6" ht="24" customHeight="1" thickBot="1">
      <c r="B9" s="1038" t="s">
        <v>587</v>
      </c>
      <c r="C9" s="1039">
        <v>4</v>
      </c>
      <c r="D9" s="1437" t="s">
        <v>948</v>
      </c>
      <c r="E9" s="1438"/>
      <c r="F9" s="1439"/>
    </row>
    <row r="10" spans="2:6" ht="12" thickBot="1">
      <c r="B10" s="1030" t="s">
        <v>276</v>
      </c>
      <c r="C10" s="895">
        <v>0</v>
      </c>
      <c r="D10" s="1262" t="s">
        <v>30</v>
      </c>
      <c r="E10" s="1275"/>
      <c r="F10" s="1263"/>
    </row>
    <row r="11" spans="2:6" ht="11.25" customHeight="1">
      <c r="B11" s="1004" t="s">
        <v>361</v>
      </c>
      <c r="C11" s="1005">
        <v>0</v>
      </c>
      <c r="D11" s="511" t="s">
        <v>286</v>
      </c>
      <c r="E11" s="369" t="s">
        <v>254</v>
      </c>
      <c r="F11" s="1448" t="s">
        <v>595</v>
      </c>
    </row>
    <row r="12" spans="2:6" ht="12" thickBot="1">
      <c r="B12" s="1006" t="s">
        <v>964</v>
      </c>
      <c r="C12" s="1007">
        <v>0</v>
      </c>
      <c r="D12" s="521" t="s">
        <v>286</v>
      </c>
      <c r="E12" s="371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2.75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 ht="12.75">
      <c r="B15" s="341" t="s">
        <v>116</v>
      </c>
      <c r="C15" s="478">
        <f>C11*4*(C6+C7)</f>
        <v>0</v>
      </c>
      <c r="D15" s="616"/>
      <c r="E15" s="996">
        <f t="shared" ref="E15" si="0">D15*C15</f>
        <v>0</v>
      </c>
      <c r="F15" s="965"/>
    </row>
    <row r="16" spans="2:6">
      <c r="B16" s="341" t="s">
        <v>965</v>
      </c>
      <c r="C16" s="1009">
        <f>C12*(C6+C7)</f>
        <v>0</v>
      </c>
      <c r="D16" s="551"/>
      <c r="E16" s="996">
        <f t="shared" ref="E16:E41" si="1">D16*C16</f>
        <v>0</v>
      </c>
      <c r="F16" s="967"/>
    </row>
    <row r="17" spans="2:6">
      <c r="B17" s="346" t="s">
        <v>988</v>
      </c>
      <c r="C17" s="1010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f t="shared" si="1"/>
        <v>0</v>
      </c>
      <c r="F17" s="967"/>
    </row>
    <row r="18" spans="2:6">
      <c r="B18" s="346" t="s">
        <v>952</v>
      </c>
      <c r="C18" s="1010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6">
        <f t="shared" si="1"/>
        <v>0</v>
      </c>
      <c r="F18" s="967"/>
    </row>
    <row r="19" spans="2:6">
      <c r="B19" s="346" t="s">
        <v>989</v>
      </c>
      <c r="C19" s="1010">
        <f>IF(C4&gt;0,(C6+C7),0)</f>
        <v>1</v>
      </c>
      <c r="D19" s="551"/>
      <c r="E19" s="996">
        <f t="shared" si="1"/>
        <v>0</v>
      </c>
      <c r="F19" s="967"/>
    </row>
    <row r="20" spans="2:6">
      <c r="B20" s="346" t="s">
        <v>984</v>
      </c>
      <c r="C20" s="1010">
        <f>IF(C4&gt;0,(C6+C7),0)</f>
        <v>1</v>
      </c>
      <c r="D20" s="551"/>
      <c r="E20" s="996">
        <f t="shared" si="1"/>
        <v>0</v>
      </c>
      <c r="F20" s="967"/>
    </row>
    <row r="21" spans="2:6">
      <c r="B21" s="341" t="s">
        <v>993</v>
      </c>
      <c r="C21" s="1011">
        <f>(C6+C7)</f>
        <v>1</v>
      </c>
      <c r="D21" s="551"/>
      <c r="E21" s="996">
        <f t="shared" si="1"/>
        <v>0</v>
      </c>
      <c r="F21" s="967"/>
    </row>
    <row r="22" spans="2:6">
      <c r="B22" s="346" t="s">
        <v>118</v>
      </c>
      <c r="C22" s="1009">
        <f>IF(C7&gt;0,C4*C7+(#REF!*(C6+C7)*C4),0)</f>
        <v>0</v>
      </c>
      <c r="D22" s="551"/>
      <c r="E22" s="996">
        <f t="shared" si="1"/>
        <v>0</v>
      </c>
      <c r="F22" s="967"/>
    </row>
    <row r="23" spans="2:6">
      <c r="B23" s="341" t="s">
        <v>966</v>
      </c>
      <c r="C23" s="1009">
        <f>C11*2*(C6+C7)*C4</f>
        <v>0</v>
      </c>
      <c r="D23" s="551"/>
      <c r="E23" s="996">
        <f t="shared" si="1"/>
        <v>0</v>
      </c>
      <c r="F23" s="967"/>
    </row>
    <row r="24" spans="2:6">
      <c r="B24" s="346" t="s">
        <v>938</v>
      </c>
      <c r="C24" s="1009">
        <f>C4*(C12*(C6+C7))</f>
        <v>0</v>
      </c>
      <c r="D24" s="551"/>
      <c r="E24" s="996">
        <f t="shared" si="1"/>
        <v>0</v>
      </c>
      <c r="F24" s="967"/>
    </row>
    <row r="25" spans="2:6">
      <c r="B25" s="341" t="s">
        <v>939</v>
      </c>
      <c r="C25" s="1009">
        <f>C4*C6</f>
        <v>2</v>
      </c>
      <c r="D25" s="551"/>
      <c r="E25" s="996">
        <f t="shared" si="1"/>
        <v>0</v>
      </c>
      <c r="F25" s="967"/>
    </row>
    <row r="26" spans="2:6">
      <c r="B26" s="341" t="s">
        <v>940</v>
      </c>
      <c r="C26" s="1010">
        <f>C4*C6</f>
        <v>2</v>
      </c>
      <c r="D26" s="551"/>
      <c r="E26" s="996">
        <f t="shared" si="1"/>
        <v>0</v>
      </c>
      <c r="F26" s="967"/>
    </row>
    <row r="27" spans="2:6">
      <c r="B27" s="341" t="s">
        <v>941</v>
      </c>
      <c r="C27" s="1009">
        <f>C4*C7</f>
        <v>0</v>
      </c>
      <c r="D27" s="551"/>
      <c r="E27" s="996">
        <f t="shared" si="1"/>
        <v>0</v>
      </c>
      <c r="F27" s="967"/>
    </row>
    <row r="28" spans="2:6">
      <c r="B28" s="346" t="s">
        <v>943</v>
      </c>
      <c r="C28" s="1010">
        <f>IF(C7&gt;0,C7,0)</f>
        <v>0</v>
      </c>
      <c r="D28" s="551"/>
      <c r="E28" s="996">
        <f t="shared" si="1"/>
        <v>0</v>
      </c>
      <c r="F28" s="967"/>
    </row>
    <row r="29" spans="2:6">
      <c r="B29" s="346" t="s">
        <v>944</v>
      </c>
      <c r="C29" s="1010">
        <f>IF(C6&gt;0,C6,0)</f>
        <v>1</v>
      </c>
      <c r="D29" s="551"/>
      <c r="E29" s="996">
        <f t="shared" si="1"/>
        <v>0</v>
      </c>
      <c r="F29" s="967"/>
    </row>
    <row r="30" spans="2:6">
      <c r="B30" s="346" t="s">
        <v>946</v>
      </c>
      <c r="C30" s="1010">
        <f>C6+C7</f>
        <v>1</v>
      </c>
      <c r="D30" s="551"/>
      <c r="E30" s="996">
        <f t="shared" si="1"/>
        <v>0</v>
      </c>
      <c r="F30" s="967"/>
    </row>
    <row r="31" spans="2:6">
      <c r="B31" s="346" t="s">
        <v>945</v>
      </c>
      <c r="C31" s="1010">
        <f>IF(C7&gt;0,C7,0)</f>
        <v>0</v>
      </c>
      <c r="D31" s="551"/>
      <c r="E31" s="996">
        <f t="shared" si="1"/>
        <v>0</v>
      </c>
      <c r="F31" s="967"/>
    </row>
    <row r="32" spans="2:6" ht="12.75">
      <c r="B32" s="982" t="s">
        <v>144</v>
      </c>
      <c r="C32" s="1010">
        <f>C10</f>
        <v>0</v>
      </c>
      <c r="D32" s="551"/>
      <c r="E32" s="996">
        <f t="shared" si="1"/>
        <v>0</v>
      </c>
      <c r="F32" s="967"/>
    </row>
    <row r="33" spans="2:6">
      <c r="B33" s="341" t="s">
        <v>994</v>
      </c>
      <c r="C33" s="1009">
        <f>(C6+C7)*C4</f>
        <v>2</v>
      </c>
      <c r="D33" s="551"/>
      <c r="E33" s="996">
        <f t="shared" si="1"/>
        <v>0</v>
      </c>
      <c r="F33" s="967"/>
    </row>
    <row r="34" spans="2:6">
      <c r="B34" s="341" t="s">
        <v>995</v>
      </c>
      <c r="C34" s="1009">
        <f>(C6+C7)*C4</f>
        <v>2</v>
      </c>
      <c r="D34" s="551"/>
      <c r="E34" s="996">
        <f t="shared" si="1"/>
        <v>0</v>
      </c>
      <c r="F34" s="967"/>
    </row>
    <row r="35" spans="2:6">
      <c r="B35" s="341" t="s">
        <v>986</v>
      </c>
      <c r="C35" s="1009">
        <f>C6</f>
        <v>1</v>
      </c>
      <c r="D35" s="551"/>
      <c r="E35" s="996">
        <f t="shared" si="1"/>
        <v>0</v>
      </c>
      <c r="F35" s="967"/>
    </row>
    <row r="36" spans="2:6">
      <c r="B36" s="346" t="s">
        <v>987</v>
      </c>
      <c r="C36" s="1010">
        <f>C7</f>
        <v>0</v>
      </c>
      <c r="D36" s="551"/>
      <c r="E36" s="996">
        <f t="shared" si="1"/>
        <v>0</v>
      </c>
      <c r="F36" s="967"/>
    </row>
    <row r="37" spans="2:6">
      <c r="B37" s="346" t="s">
        <v>787</v>
      </c>
      <c r="C37" s="1010">
        <f>(C7+C6)*4</f>
        <v>4</v>
      </c>
      <c r="D37" s="551"/>
      <c r="E37" s="996">
        <f t="shared" ref="E37" si="2">D37*C37</f>
        <v>0</v>
      </c>
      <c r="F37" s="967"/>
    </row>
    <row r="38" spans="2:6">
      <c r="B38" s="346" t="s">
        <v>978</v>
      </c>
      <c r="C38" s="1010">
        <f>(C6+C7)*4</f>
        <v>4</v>
      </c>
      <c r="D38" s="551"/>
      <c r="E38" s="996">
        <f t="shared" si="1"/>
        <v>0</v>
      </c>
      <c r="F38" s="967"/>
    </row>
    <row r="39" spans="2:6">
      <c r="B39" s="346" t="s">
        <v>364</v>
      </c>
      <c r="C39" s="1010">
        <f>(C6+C7)*C4*C11</f>
        <v>0</v>
      </c>
      <c r="D39" s="551"/>
      <c r="E39" s="996">
        <f t="shared" si="1"/>
        <v>0</v>
      </c>
      <c r="F39" s="967"/>
    </row>
    <row r="40" spans="2:6">
      <c r="B40" s="346" t="s">
        <v>967</v>
      </c>
      <c r="C40" s="1010">
        <f>(C6+C7)*C4*C12</f>
        <v>0</v>
      </c>
      <c r="D40" s="551"/>
      <c r="E40" s="996">
        <f t="shared" si="1"/>
        <v>0</v>
      </c>
      <c r="F40" s="967"/>
    </row>
    <row r="41" spans="2:6" ht="12" thickBot="1">
      <c r="B41" s="971" t="s">
        <v>942</v>
      </c>
      <c r="C41" s="1012">
        <f>IF(C4&gt;0,C6,0)</f>
        <v>1</v>
      </c>
      <c r="D41" s="590"/>
      <c r="E41" s="997">
        <f t="shared" si="1"/>
        <v>0</v>
      </c>
      <c r="F41" s="967"/>
    </row>
    <row r="42" spans="2:6" ht="13.5" thickBot="1">
      <c r="B42" s="316"/>
      <c r="C42" s="316"/>
      <c r="D42" s="384" t="s">
        <v>9</v>
      </c>
      <c r="E42" s="973">
        <f>SUMIF(E16:E41,"&gt;0",E16:E41)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947</v>
      </c>
      <c r="F45" s="967"/>
    </row>
    <row r="46" spans="2:6" ht="12.75">
      <c r="B46" s="571" t="s">
        <v>487</v>
      </c>
      <c r="C46" s="989">
        <f>IF(C9=1,C6+C7,0)</f>
        <v>0</v>
      </c>
      <c r="D46" s="974"/>
      <c r="E46" s="574">
        <f t="shared" ref="E46:E51" si="3">C46*D46</f>
        <v>0</v>
      </c>
    </row>
    <row r="47" spans="2:6" ht="12.75">
      <c r="B47" s="418" t="s">
        <v>484</v>
      </c>
      <c r="C47" s="990">
        <f>IF(C9=6,C6+C7,0)</f>
        <v>0</v>
      </c>
      <c r="D47" s="611"/>
      <c r="E47" s="323">
        <f t="shared" si="3"/>
        <v>0</v>
      </c>
    </row>
    <row r="48" spans="2:6" ht="12.75">
      <c r="B48" s="418" t="s">
        <v>589</v>
      </c>
      <c r="C48" s="990">
        <f>IF(C9=5,C6+C7,0)</f>
        <v>0</v>
      </c>
      <c r="D48" s="611"/>
      <c r="E48" s="323">
        <f t="shared" si="3"/>
        <v>0</v>
      </c>
    </row>
    <row r="49" spans="2:5" ht="12.75">
      <c r="B49" s="418" t="s">
        <v>485</v>
      </c>
      <c r="C49" s="990">
        <f>IF(C9=2,C6+C7,0)</f>
        <v>0</v>
      </c>
      <c r="D49" s="611"/>
      <c r="E49" s="323">
        <f t="shared" si="3"/>
        <v>0</v>
      </c>
    </row>
    <row r="50" spans="2:5" ht="12.75">
      <c r="B50" s="418" t="s">
        <v>486</v>
      </c>
      <c r="C50" s="990">
        <f>IF(C9=3,C6+C7,0)</f>
        <v>0</v>
      </c>
      <c r="D50" s="611"/>
      <c r="E50" s="323">
        <f t="shared" si="3"/>
        <v>0</v>
      </c>
    </row>
    <row r="51" spans="2:5" ht="13.5" thickBot="1">
      <c r="B51" s="975" t="s">
        <v>492</v>
      </c>
      <c r="C51" s="991">
        <f>IF(C9=4,C6+C7,0)</f>
        <v>1</v>
      </c>
      <c r="D51" s="976"/>
      <c r="E51" s="333">
        <f t="shared" si="3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955</v>
      </c>
      <c r="C4" s="955">
        <v>4</v>
      </c>
      <c r="D4" s="1371" t="s">
        <v>593</v>
      </c>
      <c r="E4" s="1372"/>
      <c r="F4" s="1373"/>
    </row>
    <row r="5" spans="2:6" ht="12" thickBot="1">
      <c r="B5" s="956" t="s">
        <v>556</v>
      </c>
      <c r="C5" s="957">
        <v>2</v>
      </c>
      <c r="D5" s="1442"/>
      <c r="E5" s="1443"/>
      <c r="F5" s="1444"/>
    </row>
    <row r="6" spans="2:6">
      <c r="B6" s="954" t="s">
        <v>956</v>
      </c>
      <c r="C6" s="955">
        <v>1</v>
      </c>
      <c r="D6" s="1442"/>
      <c r="E6" s="1443"/>
      <c r="F6" s="1444"/>
    </row>
    <row r="7" spans="2:6" ht="12" thickBot="1">
      <c r="B7" s="956" t="s">
        <v>557</v>
      </c>
      <c r="C7" s="957">
        <v>2</v>
      </c>
      <c r="D7" s="1374"/>
      <c r="E7" s="1375"/>
      <c r="F7" s="1376"/>
    </row>
    <row r="8" spans="2:6">
      <c r="B8" s="954" t="s">
        <v>937</v>
      </c>
      <c r="C8" s="958">
        <v>1</v>
      </c>
      <c r="D8" s="1431" t="s">
        <v>595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949</v>
      </c>
      <c r="C10" s="1040">
        <v>1</v>
      </c>
      <c r="D10" s="1041" t="s">
        <v>950</v>
      </c>
      <c r="E10" s="1042" t="s">
        <v>951</v>
      </c>
      <c r="F10" s="993"/>
    </row>
    <row r="11" spans="2:6" ht="22.5" customHeight="1" thickBot="1">
      <c r="B11" s="1038" t="s">
        <v>587</v>
      </c>
      <c r="C11" s="1039">
        <v>4</v>
      </c>
      <c r="D11" s="1437" t="s">
        <v>948</v>
      </c>
      <c r="E11" s="1438"/>
      <c r="F11" s="1439"/>
    </row>
    <row r="12" spans="2:6" ht="12" thickBot="1">
      <c r="B12" s="1043" t="s">
        <v>276</v>
      </c>
      <c r="C12" s="894">
        <v>1</v>
      </c>
      <c r="D12" s="1291" t="s">
        <v>30</v>
      </c>
      <c r="E12" s="1268"/>
      <c r="F12" s="1292"/>
    </row>
    <row r="13" spans="2:6" ht="11.25" customHeight="1">
      <c r="B13" s="1002" t="s">
        <v>361</v>
      </c>
      <c r="C13" s="1003">
        <v>0</v>
      </c>
      <c r="D13" s="510" t="s">
        <v>286</v>
      </c>
      <c r="E13" s="364" t="s">
        <v>254</v>
      </c>
      <c r="F13" s="1440" t="s">
        <v>595</v>
      </c>
    </row>
    <row r="14" spans="2:6" ht="12" thickBot="1">
      <c r="B14" s="1006" t="s">
        <v>964</v>
      </c>
      <c r="C14" s="1007">
        <v>0</v>
      </c>
      <c r="D14" s="521" t="s">
        <v>286</v>
      </c>
      <c r="E14" s="371" t="s">
        <v>254</v>
      </c>
      <c r="F14" s="1441"/>
    </row>
    <row r="15" spans="2:6" ht="12" thickBot="1">
      <c r="B15" s="1449"/>
      <c r="C15" s="1449"/>
      <c r="D15" s="1449"/>
      <c r="E15" s="1449"/>
      <c r="F15" s="939"/>
    </row>
    <row r="16" spans="2:6" ht="12.75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341" t="s">
        <v>116</v>
      </c>
      <c r="C17" s="478">
        <f>(C13)*4*(C8+C9)</f>
        <v>0</v>
      </c>
      <c r="D17" s="616"/>
      <c r="E17" s="996">
        <f t="shared" ref="E17:E45" si="0">D17*C17</f>
        <v>0</v>
      </c>
      <c r="F17" s="967"/>
    </row>
    <row r="18" spans="2:6">
      <c r="B18" s="341" t="s">
        <v>965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988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6">
        <f t="shared" si="0"/>
        <v>0</v>
      </c>
      <c r="F19" s="967"/>
    </row>
    <row r="20" spans="2:6">
      <c r="B20" s="346" t="s">
        <v>952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6">
        <f t="shared" si="0"/>
        <v>0</v>
      </c>
      <c r="F20" s="967"/>
    </row>
    <row r="21" spans="2:6">
      <c r="B21" s="346" t="s">
        <v>992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996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957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984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993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IF(C9&gt;0,(C4+C6)*C9+#REF!*(C4+C6)*(C8+C9),0)</f>
        <v>0</v>
      </c>
      <c r="D26" s="551"/>
      <c r="E26" s="996">
        <f t="shared" si="0"/>
        <v>0</v>
      </c>
      <c r="F26" s="967"/>
    </row>
    <row r="27" spans="2:6">
      <c r="B27" s="341" t="s">
        <v>966</v>
      </c>
      <c r="C27" s="342">
        <f>(C4+C6)*(C8+C9)*C13*2</f>
        <v>0</v>
      </c>
      <c r="D27" s="551"/>
      <c r="E27" s="996">
        <f t="shared" si="0"/>
        <v>0</v>
      </c>
      <c r="F27" s="967"/>
    </row>
    <row r="28" spans="2:6">
      <c r="B28" s="346" t="s">
        <v>938</v>
      </c>
      <c r="C28" s="342">
        <f>((C4+C6)*(C8+C9)+(C4+C6)*(C8+C9))*C14</f>
        <v>0</v>
      </c>
      <c r="D28" s="551"/>
      <c r="E28" s="996">
        <f t="shared" si="0"/>
        <v>0</v>
      </c>
      <c r="F28" s="967"/>
    </row>
    <row r="29" spans="2:6">
      <c r="B29" s="341" t="s">
        <v>939</v>
      </c>
      <c r="C29" s="342">
        <f>(C4+C6)*C8</f>
        <v>5</v>
      </c>
      <c r="D29" s="551"/>
      <c r="E29" s="996">
        <f t="shared" si="0"/>
        <v>0</v>
      </c>
      <c r="F29" s="967"/>
    </row>
    <row r="30" spans="2:6">
      <c r="B30" s="346" t="s">
        <v>943</v>
      </c>
      <c r="C30" s="347">
        <f>IF(C9&gt;0,C9,0)</f>
        <v>0</v>
      </c>
      <c r="D30" s="551"/>
      <c r="E30" s="996">
        <f t="shared" si="0"/>
        <v>0</v>
      </c>
      <c r="F30" s="967"/>
    </row>
    <row r="31" spans="2:6">
      <c r="B31" s="346" t="s">
        <v>944</v>
      </c>
      <c r="C31" s="347">
        <f>IF(C8&gt;0,C8,0)</f>
        <v>1</v>
      </c>
      <c r="D31" s="551"/>
      <c r="E31" s="996">
        <f t="shared" si="0"/>
        <v>0</v>
      </c>
      <c r="F31" s="967"/>
    </row>
    <row r="32" spans="2:6">
      <c r="B32" s="346" t="s">
        <v>946</v>
      </c>
      <c r="C32" s="347">
        <f>C8+C9</f>
        <v>1</v>
      </c>
      <c r="D32" s="551"/>
      <c r="E32" s="996">
        <f t="shared" si="0"/>
        <v>0</v>
      </c>
      <c r="F32" s="967"/>
    </row>
    <row r="33" spans="2:6">
      <c r="B33" s="346" t="s">
        <v>945</v>
      </c>
      <c r="C33" s="347">
        <f>IF(C9&gt;0,C9,0)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C12</f>
        <v>1</v>
      </c>
      <c r="D34" s="551"/>
      <c r="E34" s="996">
        <f t="shared" si="0"/>
        <v>0</v>
      </c>
      <c r="F34" s="967"/>
    </row>
    <row r="35" spans="2:6">
      <c r="B35" s="341" t="s">
        <v>940</v>
      </c>
      <c r="C35" s="347">
        <f>(C4+C6)*C8</f>
        <v>5</v>
      </c>
      <c r="D35" s="551"/>
      <c r="E35" s="996">
        <f t="shared" si="0"/>
        <v>0</v>
      </c>
      <c r="F35" s="967"/>
    </row>
    <row r="36" spans="2:6">
      <c r="B36" s="341" t="s">
        <v>941</v>
      </c>
      <c r="C36" s="342">
        <f>(C4+C6)*C9</f>
        <v>0</v>
      </c>
      <c r="D36" s="551"/>
      <c r="E36" s="996">
        <f t="shared" si="0"/>
        <v>0</v>
      </c>
      <c r="F36" s="967"/>
    </row>
    <row r="37" spans="2:6">
      <c r="B37" s="341" t="s">
        <v>994</v>
      </c>
      <c r="C37" s="342">
        <f>(C8+C9)*C4</f>
        <v>4</v>
      </c>
      <c r="D37" s="551"/>
      <c r="E37" s="996">
        <f t="shared" si="0"/>
        <v>0</v>
      </c>
      <c r="F37" s="967"/>
    </row>
    <row r="38" spans="2:6">
      <c r="B38" s="341" t="s">
        <v>995</v>
      </c>
      <c r="C38" s="342">
        <f>(C8+C9)*C4</f>
        <v>4</v>
      </c>
      <c r="D38" s="551"/>
      <c r="E38" s="996">
        <f t="shared" si="0"/>
        <v>0</v>
      </c>
      <c r="F38" s="967"/>
    </row>
    <row r="39" spans="2:6">
      <c r="B39" s="341" t="s">
        <v>997</v>
      </c>
      <c r="C39" s="342">
        <f>C8*2</f>
        <v>2</v>
      </c>
      <c r="D39" s="551"/>
      <c r="E39" s="996">
        <f t="shared" si="0"/>
        <v>0</v>
      </c>
      <c r="F39" s="967"/>
    </row>
    <row r="40" spans="2:6">
      <c r="B40" s="346" t="s">
        <v>890</v>
      </c>
      <c r="C40" s="347">
        <f>(C8+C9)*2</f>
        <v>2</v>
      </c>
      <c r="D40" s="551"/>
      <c r="E40" s="996">
        <f t="shared" si="0"/>
        <v>0</v>
      </c>
      <c r="F40" s="967"/>
    </row>
    <row r="41" spans="2:6">
      <c r="B41" s="346" t="s">
        <v>787</v>
      </c>
      <c r="C41" s="347">
        <f>(C9+C8)*4</f>
        <v>4</v>
      </c>
      <c r="D41" s="551"/>
      <c r="E41" s="996">
        <f t="shared" ref="E41" si="1">D41*C41</f>
        <v>0</v>
      </c>
      <c r="F41" s="967"/>
    </row>
    <row r="42" spans="2:6">
      <c r="B42" s="346" t="s">
        <v>978</v>
      </c>
      <c r="C42" s="347">
        <f>(C8+C9)*4</f>
        <v>4</v>
      </c>
      <c r="D42" s="551"/>
      <c r="E42" s="996">
        <f t="shared" si="0"/>
        <v>0</v>
      </c>
      <c r="F42" s="967"/>
    </row>
    <row r="43" spans="2:6">
      <c r="B43" s="346" t="s">
        <v>364</v>
      </c>
      <c r="C43" s="347">
        <f>(C4+C6)*(C8+C9)*C13</f>
        <v>0</v>
      </c>
      <c r="D43" s="551"/>
      <c r="E43" s="996">
        <f t="shared" si="0"/>
        <v>0</v>
      </c>
      <c r="F43" s="967"/>
    </row>
    <row r="44" spans="2:6">
      <c r="B44" s="346" t="s">
        <v>466</v>
      </c>
      <c r="C44" s="347">
        <f>(C4+C6)*(C8+C9)*C14</f>
        <v>0</v>
      </c>
      <c r="D44" s="551"/>
      <c r="E44" s="996">
        <f t="shared" si="0"/>
        <v>0</v>
      </c>
      <c r="F44" s="967"/>
    </row>
    <row r="45" spans="2:6" ht="12" thickBot="1">
      <c r="B45" s="971" t="s">
        <v>942</v>
      </c>
      <c r="C45" s="402">
        <f>C8*2</f>
        <v>2</v>
      </c>
      <c r="D45" s="590"/>
      <c r="E45" s="996">
        <f t="shared" si="0"/>
        <v>0</v>
      </c>
      <c r="F45" s="967"/>
    </row>
    <row r="46" spans="2:6" ht="13.5" thickBot="1">
      <c r="B46" s="316"/>
      <c r="C46" s="316"/>
      <c r="D46" s="384" t="s">
        <v>9</v>
      </c>
      <c r="E46" s="973">
        <f>SUMIF(E17:E45,"&gt;0",E17:E45)</f>
        <v>0</v>
      </c>
      <c r="F46" s="967"/>
    </row>
    <row r="47" spans="2:6">
      <c r="F47" s="967"/>
    </row>
    <row r="50" spans="2:5" ht="15.75" thickBot="1">
      <c r="B50" s="978" t="s">
        <v>947</v>
      </c>
    </row>
    <row r="51" spans="2:5" ht="12.75">
      <c r="B51" s="571" t="s">
        <v>487</v>
      </c>
      <c r="C51" s="989">
        <f>IF(C11=1,C8+C9,0)</f>
        <v>0</v>
      </c>
      <c r="D51" s="974"/>
      <c r="E51" s="574">
        <f t="shared" ref="E51:E56" si="2">C51*D51</f>
        <v>0</v>
      </c>
    </row>
    <row r="52" spans="2:5" ht="12.75">
      <c r="B52" s="418" t="s">
        <v>484</v>
      </c>
      <c r="C52" s="990">
        <f>IF(C11=6,C8+C9,0)</f>
        <v>0</v>
      </c>
      <c r="D52" s="611"/>
      <c r="E52" s="323">
        <f t="shared" si="2"/>
        <v>0</v>
      </c>
    </row>
    <row r="53" spans="2:5" ht="12.75">
      <c r="B53" s="418" t="s">
        <v>589</v>
      </c>
      <c r="C53" s="990">
        <f>IF(C11=5,C8+C9,0)</f>
        <v>0</v>
      </c>
      <c r="D53" s="611"/>
      <c r="E53" s="323">
        <f t="shared" si="2"/>
        <v>0</v>
      </c>
    </row>
    <row r="54" spans="2:5" ht="12.75">
      <c r="B54" s="418" t="s">
        <v>485</v>
      </c>
      <c r="C54" s="990">
        <f>IF(C11=2,C8+C9,0)</f>
        <v>0</v>
      </c>
      <c r="D54" s="611"/>
      <c r="E54" s="323">
        <f t="shared" si="2"/>
        <v>0</v>
      </c>
    </row>
    <row r="55" spans="2:5" ht="12.75">
      <c r="B55" s="418" t="s">
        <v>486</v>
      </c>
      <c r="C55" s="990">
        <f>IF(C11=3,C8+C9,0)</f>
        <v>0</v>
      </c>
      <c r="D55" s="611"/>
      <c r="E55" s="323">
        <f t="shared" si="2"/>
        <v>0</v>
      </c>
    </row>
    <row r="56" spans="2:5" ht="13.5" thickBot="1">
      <c r="B56" s="975" t="s">
        <v>492</v>
      </c>
      <c r="C56" s="991">
        <f>IF(C11=4,C8+C9,0)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958</v>
      </c>
      <c r="C4" s="955">
        <v>4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959</v>
      </c>
      <c r="C6" s="958">
        <v>3</v>
      </c>
      <c r="D6" s="1431" t="s">
        <v>960</v>
      </c>
      <c r="E6" s="1431"/>
      <c r="F6" s="1432"/>
    </row>
    <row r="7" spans="2:6" ht="12" thickBot="1">
      <c r="B7" s="999" t="s">
        <v>508</v>
      </c>
      <c r="C7" s="959">
        <v>0</v>
      </c>
      <c r="D7" s="1433"/>
      <c r="E7" s="1433"/>
      <c r="F7" s="1434"/>
    </row>
    <row r="8" spans="2:6" ht="12" thickBot="1">
      <c r="B8" s="1000" t="s">
        <v>961</v>
      </c>
      <c r="C8" s="1001">
        <v>1</v>
      </c>
      <c r="D8" s="1445" t="s">
        <v>962</v>
      </c>
      <c r="E8" s="1446"/>
      <c r="F8" s="1447"/>
    </row>
    <row r="9" spans="2:6" ht="12" thickBot="1">
      <c r="B9" s="992" t="s">
        <v>949</v>
      </c>
      <c r="C9" s="1040">
        <v>1</v>
      </c>
      <c r="D9" s="1041" t="s">
        <v>950</v>
      </c>
      <c r="E9" s="1042" t="s">
        <v>951</v>
      </c>
      <c r="F9" s="993"/>
    </row>
    <row r="10" spans="2:6" ht="24.75" customHeight="1" thickBot="1">
      <c r="B10" s="1038" t="s">
        <v>587</v>
      </c>
      <c r="C10" s="1039">
        <v>2</v>
      </c>
      <c r="D10" s="1437" t="s">
        <v>948</v>
      </c>
      <c r="E10" s="1438"/>
      <c r="F10" s="1439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595</v>
      </c>
    </row>
    <row r="13" spans="2:6" ht="12" thickBot="1">
      <c r="B13" s="1006" t="s">
        <v>964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8" si="0">D16*C16</f>
        <v>0</v>
      </c>
      <c r="F16" s="967"/>
    </row>
    <row r="17" spans="2:6">
      <c r="B17" s="341" t="s">
        <v>965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988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952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6">
        <f t="shared" si="0"/>
        <v>0</v>
      </c>
      <c r="F19" s="967"/>
    </row>
    <row r="20" spans="2:6">
      <c r="B20" s="346" t="s">
        <v>989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984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990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991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992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963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993</v>
      </c>
      <c r="C26" s="97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966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938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939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940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941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943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944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946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945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994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995</v>
      </c>
      <c r="C39" s="968">
        <f>C8*C4</f>
        <v>4</v>
      </c>
      <c r="D39" s="551"/>
      <c r="E39" s="996">
        <f t="shared" si="0"/>
        <v>0</v>
      </c>
      <c r="F39" s="967"/>
    </row>
    <row r="40" spans="2:6">
      <c r="B40" s="341" t="s">
        <v>986</v>
      </c>
      <c r="C40" s="968">
        <f>IF(C6&gt;0,C4*C8,0)</f>
        <v>4</v>
      </c>
      <c r="D40" s="551"/>
      <c r="E40" s="996">
        <f t="shared" si="0"/>
        <v>0</v>
      </c>
      <c r="F40" s="967"/>
    </row>
    <row r="41" spans="2:6">
      <c r="B41" s="346" t="s">
        <v>987</v>
      </c>
      <c r="C41" s="969">
        <f>IF(C7&gt;0,C4*C8,0)</f>
        <v>0</v>
      </c>
      <c r="D41" s="551"/>
      <c r="E41" s="996">
        <f t="shared" si="0"/>
        <v>0</v>
      </c>
      <c r="F41" s="967"/>
    </row>
    <row r="42" spans="2:6">
      <c r="B42" s="346" t="s">
        <v>890</v>
      </c>
      <c r="C42" s="969">
        <f>(C6+C7-1)*2*C8</f>
        <v>4</v>
      </c>
      <c r="D42" s="551"/>
      <c r="E42" s="996">
        <f t="shared" si="0"/>
        <v>0</v>
      </c>
      <c r="F42" s="967"/>
    </row>
    <row r="43" spans="2:6">
      <c r="B43" s="346" t="s">
        <v>787</v>
      </c>
      <c r="C43" s="969">
        <f>C8*4</f>
        <v>4</v>
      </c>
      <c r="D43" s="551"/>
      <c r="E43" s="996">
        <f t="shared" ref="E43" si="1">D43*C43</f>
        <v>0</v>
      </c>
      <c r="F43" s="967"/>
    </row>
    <row r="44" spans="2:6">
      <c r="B44" s="346" t="s">
        <v>978</v>
      </c>
      <c r="C44" s="969">
        <f>C8*4</f>
        <v>4</v>
      </c>
      <c r="D44" s="551"/>
      <c r="E44" s="996">
        <f t="shared" si="0"/>
        <v>0</v>
      </c>
      <c r="F44" s="967"/>
    </row>
    <row r="45" spans="2:6">
      <c r="B45" s="346" t="s">
        <v>954</v>
      </c>
      <c r="C45" s="969">
        <f>C10*C8</f>
        <v>2</v>
      </c>
      <c r="D45" s="551"/>
      <c r="E45" s="996">
        <f t="shared" si="0"/>
        <v>0</v>
      </c>
      <c r="F45" s="967"/>
    </row>
    <row r="46" spans="2:6">
      <c r="B46" s="346" t="s">
        <v>364</v>
      </c>
      <c r="C46" s="969">
        <f>C4*C8*C12</f>
        <v>0</v>
      </c>
      <c r="D46" s="551"/>
      <c r="E46" s="996">
        <f t="shared" si="0"/>
        <v>0</v>
      </c>
      <c r="F46" s="967"/>
    </row>
    <row r="47" spans="2:6">
      <c r="B47" s="346" t="s">
        <v>967</v>
      </c>
      <c r="C47" s="969">
        <f>C4*C8*C13</f>
        <v>0</v>
      </c>
      <c r="D47" s="551"/>
      <c r="E47" s="996">
        <f t="shared" si="0"/>
        <v>0</v>
      </c>
    </row>
    <row r="48" spans="2:6" ht="12" thickBot="1">
      <c r="B48" s="971" t="s">
        <v>942</v>
      </c>
      <c r="C48" s="972">
        <f>IF(C6&gt;1,C8,0)</f>
        <v>1</v>
      </c>
      <c r="D48" s="590"/>
      <c r="E48" s="996">
        <f t="shared" si="0"/>
        <v>0</v>
      </c>
    </row>
    <row r="49" spans="2:5" ht="13.5" thickBot="1">
      <c r="B49" s="316"/>
      <c r="C49" s="316"/>
      <c r="D49" s="384" t="s">
        <v>9</v>
      </c>
      <c r="E49" s="973">
        <f>SUMIF(E16:E48,"&gt;0",E16:E48)</f>
        <v>0</v>
      </c>
    </row>
    <row r="52" spans="2:5" ht="15.75" thickBot="1">
      <c r="B52" s="978" t="s">
        <v>947</v>
      </c>
    </row>
    <row r="53" spans="2:5" ht="12.75">
      <c r="B53" s="571" t="s">
        <v>487</v>
      </c>
      <c r="C53" s="989">
        <f>IF(C10=1,C8,0)</f>
        <v>0</v>
      </c>
      <c r="D53" s="974"/>
      <c r="E53" s="574">
        <f t="shared" ref="E53:E58" si="2">C53*D53</f>
        <v>0</v>
      </c>
    </row>
    <row r="54" spans="2:5" ht="12.75">
      <c r="B54" s="418" t="s">
        <v>484</v>
      </c>
      <c r="C54" s="990">
        <f>IF(C10=6,C8,0)</f>
        <v>0</v>
      </c>
      <c r="D54" s="611"/>
      <c r="E54" s="323">
        <f t="shared" si="2"/>
        <v>0</v>
      </c>
    </row>
    <row r="55" spans="2:5" ht="12.75">
      <c r="B55" s="418" t="s">
        <v>589</v>
      </c>
      <c r="C55" s="990">
        <f>IF(C10=5,C8,0)</f>
        <v>0</v>
      </c>
      <c r="D55" s="611"/>
      <c r="E55" s="323">
        <f t="shared" si="2"/>
        <v>0</v>
      </c>
    </row>
    <row r="56" spans="2:5" ht="12.75">
      <c r="B56" s="418" t="s">
        <v>485</v>
      </c>
      <c r="C56" s="990">
        <f>IF(C10=2,C8,0)</f>
        <v>1</v>
      </c>
      <c r="D56" s="611"/>
      <c r="E56" s="323">
        <f t="shared" si="2"/>
        <v>0</v>
      </c>
    </row>
    <row r="57" spans="2:5" ht="12.75">
      <c r="B57" s="418" t="s">
        <v>486</v>
      </c>
      <c r="C57" s="990">
        <f>IF(C10=3,C8,0)</f>
        <v>0</v>
      </c>
      <c r="D57" s="611"/>
      <c r="E57" s="323">
        <f t="shared" si="2"/>
        <v>0</v>
      </c>
    </row>
    <row r="58" spans="2:5" ht="13.5" thickBot="1">
      <c r="B58" s="975" t="s">
        <v>492</v>
      </c>
      <c r="C58" s="991">
        <f>IF(C10=4,C8,0)</f>
        <v>0</v>
      </c>
      <c r="D58" s="976"/>
      <c r="E58" s="333">
        <f t="shared" si="2"/>
        <v>0</v>
      </c>
    </row>
    <row r="59" spans="2:5" ht="13.5" thickBot="1">
      <c r="D59" s="977" t="s">
        <v>9</v>
      </c>
      <c r="E59" s="983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73"/>
      <c r="C3" s="1274"/>
      <c r="D3" s="1274"/>
      <c r="E3" s="1274"/>
      <c r="F3" s="938"/>
    </row>
    <row r="4" spans="2:6" ht="11.25" customHeight="1">
      <c r="B4" s="954" t="s">
        <v>10</v>
      </c>
      <c r="C4" s="955">
        <v>2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937</v>
      </c>
      <c r="C6" s="958">
        <v>1</v>
      </c>
      <c r="D6" s="1431" t="s">
        <v>595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1.25" customHeight="1">
      <c r="B8" s="954" t="s">
        <v>968</v>
      </c>
      <c r="C8" s="958">
        <v>1</v>
      </c>
      <c r="D8" s="1431" t="s">
        <v>595</v>
      </c>
      <c r="E8" s="1431"/>
      <c r="F8" s="1432"/>
    </row>
    <row r="9" spans="2:6" ht="12" thickBot="1">
      <c r="B9" s="956" t="s">
        <v>969</v>
      </c>
      <c r="C9" s="959">
        <v>0</v>
      </c>
      <c r="D9" s="1433"/>
      <c r="E9" s="1433"/>
      <c r="F9" s="1434"/>
    </row>
    <row r="10" spans="2:6" ht="23.25" customHeight="1" thickBot="1">
      <c r="B10" s="1028" t="s">
        <v>587</v>
      </c>
      <c r="C10" s="1029">
        <v>2</v>
      </c>
      <c r="D10" s="1281" t="s">
        <v>948</v>
      </c>
      <c r="E10" s="1450"/>
      <c r="F10" s="1451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52" t="s">
        <v>595</v>
      </c>
    </row>
    <row r="13" spans="2:6" ht="12" thickBot="1">
      <c r="B13" s="1006" t="s">
        <v>964</v>
      </c>
      <c r="C13" s="1007">
        <v>0</v>
      </c>
      <c r="D13" s="521" t="s">
        <v>286</v>
      </c>
      <c r="E13" s="371" t="s">
        <v>254</v>
      </c>
      <c r="F13" s="1453"/>
    </row>
    <row r="14" spans="2:6" ht="12" thickBot="1">
      <c r="B14" s="1369"/>
      <c r="C14" s="1369"/>
      <c r="D14" s="1369"/>
      <c r="E14" s="1369"/>
      <c r="F14" s="939"/>
    </row>
    <row r="15" spans="2:6" ht="12.75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(C12)*(C6+C7+C8+C9)*2</f>
        <v>0</v>
      </c>
      <c r="D16" s="616"/>
      <c r="E16" s="996">
        <f t="shared" ref="E16:E41" si="0">D16*C16</f>
        <v>0</v>
      </c>
      <c r="F16" s="967"/>
    </row>
    <row r="17" spans="2:6">
      <c r="B17" s="341" t="s">
        <v>965</v>
      </c>
      <c r="C17" s="968">
        <f>C13*(C6+C7+C8+C9)</f>
        <v>0</v>
      </c>
      <c r="D17" s="551"/>
      <c r="E17" s="996">
        <f t="shared" si="0"/>
        <v>0</v>
      </c>
      <c r="F17" s="967"/>
    </row>
    <row r="18" spans="2:6">
      <c r="B18" s="346" t="s">
        <v>981</v>
      </c>
      <c r="C18" s="969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6">
        <f t="shared" si="0"/>
        <v>0</v>
      </c>
      <c r="F18" s="967"/>
    </row>
    <row r="19" spans="2:6">
      <c r="B19" s="346" t="s">
        <v>982</v>
      </c>
      <c r="C19" s="969">
        <f>IF(C4&gt;0,(C8+C9),0)</f>
        <v>1</v>
      </c>
      <c r="D19" s="551"/>
      <c r="E19" s="996">
        <f t="shared" si="0"/>
        <v>0</v>
      </c>
      <c r="F19" s="967"/>
    </row>
    <row r="20" spans="2:6">
      <c r="B20" s="346" t="s">
        <v>983</v>
      </c>
      <c r="C20" s="970">
        <f>C8+C9</f>
        <v>1</v>
      </c>
      <c r="D20" s="551"/>
      <c r="E20" s="996">
        <f t="shared" si="0"/>
        <v>0</v>
      </c>
      <c r="F20" s="967"/>
    </row>
    <row r="21" spans="2:6">
      <c r="B21" s="346" t="s">
        <v>953</v>
      </c>
      <c r="C21" s="969">
        <f>IF(C4&gt;0,(C6+C7),0)</f>
        <v>1</v>
      </c>
      <c r="D21" s="551"/>
      <c r="E21" s="996">
        <f t="shared" si="0"/>
        <v>0</v>
      </c>
      <c r="F21" s="967"/>
    </row>
    <row r="22" spans="2:6">
      <c r="B22" s="346" t="s">
        <v>984</v>
      </c>
      <c r="C22" s="970">
        <f>(C6+C7)</f>
        <v>1</v>
      </c>
      <c r="D22" s="551"/>
      <c r="E22" s="996">
        <f t="shared" si="0"/>
        <v>0</v>
      </c>
      <c r="F22" s="967"/>
    </row>
    <row r="23" spans="2:6">
      <c r="B23" s="341" t="s">
        <v>985</v>
      </c>
      <c r="C23" s="970">
        <f>C6+C7</f>
        <v>1</v>
      </c>
      <c r="D23" s="551"/>
      <c r="E23" s="996">
        <f t="shared" si="0"/>
        <v>0</v>
      </c>
      <c r="F23" s="967"/>
    </row>
    <row r="24" spans="2:6">
      <c r="B24" s="341" t="s">
        <v>976</v>
      </c>
      <c r="C24" s="969">
        <f>(C8+C9)*2</f>
        <v>2</v>
      </c>
      <c r="D24" s="551"/>
      <c r="E24" s="996">
        <f t="shared" si="0"/>
        <v>0</v>
      </c>
      <c r="F24" s="967"/>
    </row>
    <row r="25" spans="2:6">
      <c r="B25" s="341" t="s">
        <v>966</v>
      </c>
      <c r="C25" s="968">
        <f>C4*C12*2*(C6+C7+C8+C9)</f>
        <v>0</v>
      </c>
      <c r="D25" s="551"/>
      <c r="E25" s="996">
        <f t="shared" si="0"/>
        <v>0</v>
      </c>
      <c r="F25" s="967"/>
    </row>
    <row r="26" spans="2:6">
      <c r="B26" s="346" t="s">
        <v>938</v>
      </c>
      <c r="C26" s="968">
        <f>C4*C13*(C6+C7+C8+C9)</f>
        <v>0</v>
      </c>
      <c r="D26" s="551"/>
      <c r="E26" s="996">
        <f t="shared" si="0"/>
        <v>0</v>
      </c>
      <c r="F26" s="967"/>
    </row>
    <row r="27" spans="2:6">
      <c r="B27" s="341" t="s">
        <v>939</v>
      </c>
      <c r="C27" s="969">
        <f>C4*(C6+C8)</f>
        <v>4</v>
      </c>
      <c r="D27" s="551"/>
      <c r="E27" s="996">
        <f t="shared" si="0"/>
        <v>0</v>
      </c>
      <c r="F27" s="967"/>
    </row>
    <row r="28" spans="2:6">
      <c r="B28" s="341" t="s">
        <v>940</v>
      </c>
      <c r="C28" s="968">
        <f>C4*(C6+C8)</f>
        <v>4</v>
      </c>
      <c r="D28" s="551"/>
      <c r="E28" s="996">
        <f t="shared" si="0"/>
        <v>0</v>
      </c>
      <c r="F28" s="967"/>
    </row>
    <row r="29" spans="2:6">
      <c r="B29" s="341" t="s">
        <v>941</v>
      </c>
      <c r="C29" s="968">
        <f>(C9+C7)*C4</f>
        <v>0</v>
      </c>
      <c r="D29" s="551"/>
      <c r="E29" s="996">
        <f t="shared" si="0"/>
        <v>0</v>
      </c>
      <c r="F29" s="967"/>
    </row>
    <row r="30" spans="2:6">
      <c r="B30" s="346" t="s">
        <v>943</v>
      </c>
      <c r="C30" s="347">
        <f>IF(C7+C9&gt;0,C7+C9,0)</f>
        <v>0</v>
      </c>
      <c r="D30" s="551"/>
      <c r="E30" s="996">
        <f t="shared" si="0"/>
        <v>0</v>
      </c>
      <c r="F30" s="967"/>
    </row>
    <row r="31" spans="2:6">
      <c r="B31" s="346" t="s">
        <v>944</v>
      </c>
      <c r="C31" s="347">
        <f>IF(C6+C8&gt;0,C6+C8,0)</f>
        <v>2</v>
      </c>
      <c r="D31" s="551"/>
      <c r="E31" s="996">
        <f t="shared" si="0"/>
        <v>0</v>
      </c>
      <c r="F31" s="967"/>
    </row>
    <row r="32" spans="2:6">
      <c r="B32" s="346" t="s">
        <v>946</v>
      </c>
      <c r="C32" s="347">
        <f>C6+C7+C8+C9</f>
        <v>2</v>
      </c>
      <c r="D32" s="551"/>
      <c r="E32" s="996">
        <f t="shared" si="0"/>
        <v>0</v>
      </c>
      <c r="F32" s="967"/>
    </row>
    <row r="33" spans="2:6">
      <c r="B33" s="346" t="s">
        <v>945</v>
      </c>
      <c r="C33" s="347">
        <f>IF(C7+C9&gt;0,C7+C9,0)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C11</f>
        <v>1</v>
      </c>
      <c r="D34" s="551"/>
      <c r="E34" s="996">
        <f t="shared" si="0"/>
        <v>0</v>
      </c>
      <c r="F34" s="967"/>
    </row>
    <row r="35" spans="2:6">
      <c r="B35" s="341" t="s">
        <v>977</v>
      </c>
      <c r="C35" s="968">
        <f>C4*(C8+C9)</f>
        <v>2</v>
      </c>
      <c r="D35" s="551"/>
      <c r="E35" s="996">
        <f t="shared" si="0"/>
        <v>0</v>
      </c>
      <c r="F35" s="967"/>
    </row>
    <row r="36" spans="2:6">
      <c r="B36" s="341" t="s">
        <v>986</v>
      </c>
      <c r="C36" s="969">
        <f>C6+C8</f>
        <v>2</v>
      </c>
      <c r="D36" s="551"/>
      <c r="E36" s="996">
        <f t="shared" si="0"/>
        <v>0</v>
      </c>
      <c r="F36" s="967"/>
    </row>
    <row r="37" spans="2:6">
      <c r="B37" s="346" t="s">
        <v>987</v>
      </c>
      <c r="C37" s="969">
        <f>C7+C9</f>
        <v>0</v>
      </c>
      <c r="D37" s="551"/>
      <c r="E37" s="996">
        <f t="shared" si="0"/>
        <v>0</v>
      </c>
      <c r="F37" s="967"/>
    </row>
    <row r="38" spans="2:6">
      <c r="B38" s="346" t="s">
        <v>787</v>
      </c>
      <c r="C38" s="969">
        <f>(C6+C7+C8+C9)*4</f>
        <v>8</v>
      </c>
      <c r="D38" s="551"/>
      <c r="E38" s="996">
        <f t="shared" si="0"/>
        <v>0</v>
      </c>
      <c r="F38" s="967"/>
    </row>
    <row r="39" spans="2:6">
      <c r="B39" s="346" t="s">
        <v>364</v>
      </c>
      <c r="C39" s="969">
        <f>C12*C4*(C6+C7+C8+C9)</f>
        <v>0</v>
      </c>
      <c r="D39" s="551"/>
      <c r="E39" s="996">
        <f t="shared" si="0"/>
        <v>0</v>
      </c>
      <c r="F39" s="967"/>
    </row>
    <row r="40" spans="2:6">
      <c r="B40" s="346" t="s">
        <v>466</v>
      </c>
      <c r="C40" s="969">
        <f>C13*C4*(C6+C7+C8+C9)</f>
        <v>0</v>
      </c>
      <c r="D40" s="551"/>
      <c r="E40" s="996">
        <f t="shared" si="0"/>
        <v>0</v>
      </c>
      <c r="F40" s="967"/>
    </row>
    <row r="41" spans="2:6" ht="12" thickBot="1">
      <c r="B41" s="971" t="s">
        <v>942</v>
      </c>
      <c r="C41" s="972">
        <f>IF(C6+C8&gt;1,C6+C8,0)</f>
        <v>2</v>
      </c>
      <c r="D41" s="459"/>
      <c r="E41" s="997">
        <f t="shared" si="0"/>
        <v>0</v>
      </c>
      <c r="F41" s="967"/>
    </row>
    <row r="42" spans="2:6" ht="13.5" thickBot="1">
      <c r="B42" s="316"/>
      <c r="C42" s="316"/>
      <c r="D42" s="384" t="s">
        <v>9</v>
      </c>
      <c r="E42" s="1015">
        <f>SUMIF(E16:E40,"&gt;0",E16:E40)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947</v>
      </c>
      <c r="F45" s="967"/>
    </row>
    <row r="46" spans="2:6" ht="12.75">
      <c r="B46" s="571" t="s">
        <v>487</v>
      </c>
      <c r="C46" s="989">
        <f>IF(C10=1,C6+C7+C8+C9,0)</f>
        <v>0</v>
      </c>
      <c r="D46" s="974"/>
      <c r="E46" s="574">
        <f t="shared" ref="E46:E51" si="1">C46*D46</f>
        <v>0</v>
      </c>
    </row>
    <row r="47" spans="2:6" ht="12.75">
      <c r="B47" s="418" t="s">
        <v>484</v>
      </c>
      <c r="C47" s="990">
        <f>IF(C10=6,C6+C7+C8+C9,0)</f>
        <v>0</v>
      </c>
      <c r="D47" s="611"/>
      <c r="E47" s="323">
        <f t="shared" si="1"/>
        <v>0</v>
      </c>
    </row>
    <row r="48" spans="2:6" ht="12.75">
      <c r="B48" s="418" t="s">
        <v>589</v>
      </c>
      <c r="C48" s="990">
        <f>IF(C10=5,C6+C7+C8+C9,0)</f>
        <v>0</v>
      </c>
      <c r="D48" s="611"/>
      <c r="E48" s="323">
        <f t="shared" si="1"/>
        <v>0</v>
      </c>
    </row>
    <row r="49" spans="2:5" ht="12.75">
      <c r="B49" s="418" t="s">
        <v>485</v>
      </c>
      <c r="C49" s="990">
        <f>IF(C10=2,C6+C7+C8+C9,0)</f>
        <v>2</v>
      </c>
      <c r="D49" s="611"/>
      <c r="E49" s="323">
        <f t="shared" si="1"/>
        <v>0</v>
      </c>
    </row>
    <row r="50" spans="2:5" ht="12.75">
      <c r="B50" s="418" t="s">
        <v>486</v>
      </c>
      <c r="C50" s="990">
        <f>IF(C10=3,C6+C7+C8+C9,0)</f>
        <v>0</v>
      </c>
      <c r="D50" s="611"/>
      <c r="E50" s="323">
        <f t="shared" si="1"/>
        <v>0</v>
      </c>
    </row>
    <row r="51" spans="2:5" ht="13.5" thickBot="1">
      <c r="B51" s="975" t="s">
        <v>492</v>
      </c>
      <c r="C51" s="991">
        <f>IF(C10=4,C6+C7+C8+C9,0)</f>
        <v>0</v>
      </c>
      <c r="D51" s="976"/>
      <c r="E51" s="333">
        <f t="shared" si="1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73"/>
      <c r="B3" s="1274"/>
      <c r="C3" s="1274"/>
      <c r="D3" s="1274"/>
      <c r="E3" s="1016"/>
    </row>
    <row r="4" spans="1:5">
      <c r="A4" s="954" t="s">
        <v>955</v>
      </c>
      <c r="B4" s="955">
        <v>2</v>
      </c>
      <c r="C4" s="1371" t="s">
        <v>593</v>
      </c>
      <c r="D4" s="1372"/>
      <c r="E4" s="1373"/>
    </row>
    <row r="5" spans="1:5" ht="12" thickBot="1">
      <c r="A5" s="956" t="s">
        <v>556</v>
      </c>
      <c r="B5" s="957">
        <v>0</v>
      </c>
      <c r="C5" s="1442"/>
      <c r="D5" s="1443"/>
      <c r="E5" s="1444"/>
    </row>
    <row r="6" spans="1:5">
      <c r="A6" s="954" t="s">
        <v>956</v>
      </c>
      <c r="B6" s="955">
        <v>4</v>
      </c>
      <c r="C6" s="1442"/>
      <c r="D6" s="1443"/>
      <c r="E6" s="1444"/>
    </row>
    <row r="7" spans="1:5" ht="12" thickBot="1">
      <c r="A7" s="956" t="s">
        <v>557</v>
      </c>
      <c r="B7" s="957">
        <v>0</v>
      </c>
      <c r="C7" s="1374"/>
      <c r="D7" s="1375"/>
      <c r="E7" s="1376"/>
    </row>
    <row r="8" spans="1:5">
      <c r="A8" s="954" t="s">
        <v>937</v>
      </c>
      <c r="B8" s="958">
        <v>1</v>
      </c>
      <c r="C8" s="1431" t="s">
        <v>595</v>
      </c>
      <c r="D8" s="1431"/>
      <c r="E8" s="1432"/>
    </row>
    <row r="9" spans="1:5" ht="12" thickBot="1">
      <c r="A9" s="956" t="s">
        <v>413</v>
      </c>
      <c r="B9" s="959">
        <v>0</v>
      </c>
      <c r="C9" s="1433"/>
      <c r="D9" s="1433"/>
      <c r="E9" s="1434"/>
    </row>
    <row r="10" spans="1:5" ht="12" thickBot="1">
      <c r="A10" s="992" t="s">
        <v>971</v>
      </c>
      <c r="B10" s="1040">
        <v>1</v>
      </c>
      <c r="C10" s="1041" t="s">
        <v>286</v>
      </c>
      <c r="D10" s="1044" t="s">
        <v>972</v>
      </c>
      <c r="E10" s="993"/>
    </row>
    <row r="11" spans="1:5" ht="23.25" customHeight="1" thickBot="1">
      <c r="A11" s="1038" t="s">
        <v>587</v>
      </c>
      <c r="B11" s="1039">
        <v>4</v>
      </c>
      <c r="C11" s="1437" t="s">
        <v>948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595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B13*2*(B8+B9)*2</f>
        <v>0</v>
      </c>
      <c r="C17" s="458"/>
      <c r="D17" s="995">
        <f t="shared" ref="D17:D42" si="0">C17*B17</f>
        <v>0</v>
      </c>
      <c r="E17" s="967"/>
    </row>
    <row r="18" spans="1:5">
      <c r="A18" s="341" t="s">
        <v>399</v>
      </c>
      <c r="B18" s="342">
        <f>B14*(B8+B9)*2</f>
        <v>0</v>
      </c>
      <c r="C18" s="551"/>
      <c r="D18" s="996">
        <f t="shared" si="0"/>
        <v>0</v>
      </c>
      <c r="E18" s="967"/>
    </row>
    <row r="19" spans="1:5">
      <c r="A19" s="346" t="s">
        <v>981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6">
        <f t="shared" si="0"/>
        <v>0</v>
      </c>
      <c r="E19" s="967"/>
    </row>
    <row r="20" spans="1:5">
      <c r="A20" s="346" t="s">
        <v>973</v>
      </c>
      <c r="B20" s="347">
        <f>(B8+B9)*B10</f>
        <v>1</v>
      </c>
      <c r="C20" s="551"/>
      <c r="D20" s="996">
        <f t="shared" si="0"/>
        <v>0</v>
      </c>
      <c r="E20" s="967"/>
    </row>
    <row r="21" spans="1:5">
      <c r="A21" t="s">
        <v>974</v>
      </c>
      <c r="B21" s="347">
        <f>B8+B9</f>
        <v>1</v>
      </c>
      <c r="C21" s="551"/>
      <c r="D21" s="996">
        <f t="shared" si="0"/>
        <v>0</v>
      </c>
      <c r="E21" s="967"/>
    </row>
    <row r="22" spans="1:5">
      <c r="A22" s="346" t="s">
        <v>996</v>
      </c>
      <c r="B22" s="347">
        <f>B9*2</f>
        <v>0</v>
      </c>
      <c r="C22" s="551"/>
      <c r="D22" s="996">
        <f t="shared" si="0"/>
        <v>0</v>
      </c>
      <c r="E22" s="967"/>
    </row>
    <row r="23" spans="1:5">
      <c r="A23" s="346" t="s">
        <v>957</v>
      </c>
      <c r="B23" s="347">
        <f>B8+B9</f>
        <v>1</v>
      </c>
      <c r="C23" s="551"/>
      <c r="D23" s="996">
        <f t="shared" si="0"/>
        <v>0</v>
      </c>
      <c r="E23" s="967"/>
    </row>
    <row r="24" spans="1:5">
      <c r="A24" s="346" t="s">
        <v>975</v>
      </c>
      <c r="B24" s="347">
        <f>IF(B4&gt;0,(B8+B9)*2,0)</f>
        <v>2</v>
      </c>
      <c r="C24" s="551"/>
      <c r="D24" s="996">
        <f t="shared" si="0"/>
        <v>0</v>
      </c>
      <c r="E24" s="967"/>
    </row>
    <row r="25" spans="1:5">
      <c r="A25" s="341" t="s">
        <v>976</v>
      </c>
      <c r="B25" s="350">
        <f>(B8+B9)*2</f>
        <v>2</v>
      </c>
      <c r="C25" s="551"/>
      <c r="D25" s="996">
        <f t="shared" si="0"/>
        <v>0</v>
      </c>
      <c r="E25" s="967"/>
    </row>
    <row r="26" spans="1:5">
      <c r="A26" s="346" t="s">
        <v>118</v>
      </c>
      <c r="B26" s="342">
        <f>IF(B9&gt;0,(B4+B6)*B9,0)</f>
        <v>0</v>
      </c>
      <c r="C26" s="551"/>
      <c r="D26" s="996">
        <f t="shared" si="0"/>
        <v>0</v>
      </c>
      <c r="E26" s="967"/>
    </row>
    <row r="27" spans="1:5">
      <c r="A27" s="346" t="s">
        <v>938</v>
      </c>
      <c r="B27" s="342">
        <f>(B4+B6)*(B8+B9)</f>
        <v>6</v>
      </c>
      <c r="C27" s="551"/>
      <c r="D27" s="996">
        <f t="shared" si="0"/>
        <v>0</v>
      </c>
      <c r="E27" s="967"/>
    </row>
    <row r="28" spans="1:5">
      <c r="A28" s="341" t="s">
        <v>939</v>
      </c>
      <c r="B28" s="342">
        <f>(B4+B6)*B8</f>
        <v>6</v>
      </c>
      <c r="C28" s="551"/>
      <c r="D28" s="996">
        <f t="shared" si="0"/>
        <v>0</v>
      </c>
      <c r="E28" s="967"/>
    </row>
    <row r="29" spans="1:5">
      <c r="A29" s="341" t="s">
        <v>940</v>
      </c>
      <c r="B29" s="347">
        <f>(B4+B6)*B8</f>
        <v>6</v>
      </c>
      <c r="C29" s="551"/>
      <c r="D29" s="996">
        <f t="shared" si="0"/>
        <v>0</v>
      </c>
      <c r="E29" s="967"/>
    </row>
    <row r="30" spans="1:5">
      <c r="A30" s="341" t="s">
        <v>941</v>
      </c>
      <c r="B30" s="342">
        <f>(B4+B6)*B9</f>
        <v>0</v>
      </c>
      <c r="C30" s="551"/>
      <c r="D30" s="996">
        <f t="shared" si="0"/>
        <v>0</v>
      </c>
      <c r="E30" s="967"/>
    </row>
    <row r="31" spans="1:5">
      <c r="A31" s="346" t="s">
        <v>943</v>
      </c>
      <c r="B31" s="347">
        <f>B9</f>
        <v>0</v>
      </c>
      <c r="C31" s="551"/>
      <c r="D31" s="996"/>
      <c r="E31" s="967"/>
    </row>
    <row r="32" spans="1:5">
      <c r="A32" s="346" t="s">
        <v>944</v>
      </c>
      <c r="B32" s="347">
        <f>B8</f>
        <v>1</v>
      </c>
      <c r="C32" s="551"/>
      <c r="D32" s="996"/>
      <c r="E32" s="967"/>
    </row>
    <row r="33" spans="1:5">
      <c r="A33" s="346" t="s">
        <v>946</v>
      </c>
      <c r="B33" s="347">
        <f>B8+B9</f>
        <v>1</v>
      </c>
      <c r="C33" s="551"/>
      <c r="D33" s="996"/>
      <c r="E33" s="967"/>
    </row>
    <row r="34" spans="1:5">
      <c r="A34" s="346" t="s">
        <v>945</v>
      </c>
      <c r="B34" s="347">
        <f>B5</f>
        <v>0</v>
      </c>
      <c r="C34" s="551"/>
      <c r="D34" s="996"/>
      <c r="E34" s="967"/>
    </row>
    <row r="35" spans="1:5" ht="12.75">
      <c r="A35" s="982" t="s">
        <v>144</v>
      </c>
      <c r="B35" s="347">
        <f>B12</f>
        <v>0</v>
      </c>
      <c r="C35" s="551"/>
      <c r="D35" s="996"/>
      <c r="E35" s="967"/>
    </row>
    <row r="36" spans="1:5">
      <c r="A36" s="341" t="s">
        <v>977</v>
      </c>
      <c r="B36" s="342">
        <f>(B8+B9)*B4</f>
        <v>2</v>
      </c>
      <c r="C36" s="551"/>
      <c r="D36" s="996">
        <f t="shared" si="0"/>
        <v>0</v>
      </c>
      <c r="E36" s="967"/>
    </row>
    <row r="37" spans="1:5">
      <c r="A37" s="341" t="s">
        <v>997</v>
      </c>
      <c r="B37" s="342">
        <f>B8*2</f>
        <v>2</v>
      </c>
      <c r="C37" s="551"/>
      <c r="D37" s="996">
        <f t="shared" si="0"/>
        <v>0</v>
      </c>
      <c r="E37" s="967"/>
    </row>
    <row r="38" spans="1:5">
      <c r="A38" s="346" t="s">
        <v>890</v>
      </c>
      <c r="B38" s="347">
        <f>(B8+B9)</f>
        <v>1</v>
      </c>
      <c r="C38" s="551"/>
      <c r="D38" s="996">
        <f t="shared" si="0"/>
        <v>0</v>
      </c>
      <c r="E38" s="967"/>
    </row>
    <row r="39" spans="1:5">
      <c r="A39" s="346" t="s">
        <v>787</v>
      </c>
      <c r="B39" s="347">
        <f>(B8+B9)*4</f>
        <v>4</v>
      </c>
      <c r="C39" s="551"/>
      <c r="D39" s="996">
        <f t="shared" si="0"/>
        <v>0</v>
      </c>
      <c r="E39" s="967"/>
    </row>
    <row r="40" spans="1:5">
      <c r="A40" s="346" t="s">
        <v>400</v>
      </c>
      <c r="B40" s="347">
        <f>(B8+B9)*(B4+B6)</f>
        <v>6</v>
      </c>
      <c r="C40" s="551"/>
      <c r="D40" s="996">
        <f t="shared" si="0"/>
        <v>0</v>
      </c>
      <c r="E40" s="967"/>
    </row>
    <row r="41" spans="1:5">
      <c r="A41" s="346" t="s">
        <v>401</v>
      </c>
      <c r="B41" s="347">
        <f>B14*(B4+B6)*(B8+B9)</f>
        <v>0</v>
      </c>
      <c r="C41" s="551"/>
      <c r="D41" s="996">
        <f t="shared" si="0"/>
        <v>0</v>
      </c>
      <c r="E41" s="967"/>
    </row>
    <row r="42" spans="1:5" ht="12" thickBot="1">
      <c r="A42" s="971" t="s">
        <v>942</v>
      </c>
      <c r="B42" s="402">
        <f>B5</f>
        <v>0</v>
      </c>
      <c r="C42" s="590"/>
      <c r="D42" s="997">
        <f t="shared" si="0"/>
        <v>0</v>
      </c>
      <c r="E42" s="967"/>
    </row>
    <row r="43" spans="1:5" ht="13.5" thickBot="1">
      <c r="A43" s="316"/>
      <c r="B43" s="316"/>
      <c r="C43" s="384" t="s">
        <v>9</v>
      </c>
      <c r="D43" s="973">
        <f>SUMIF(D17:D42,"&gt;0",D17:D42)</f>
        <v>0</v>
      </c>
      <c r="E43" s="967"/>
    </row>
    <row r="44" spans="1:5">
      <c r="E44" s="967"/>
    </row>
    <row r="45" spans="1:5">
      <c r="E45" s="967"/>
    </row>
    <row r="46" spans="1:5" ht="15.75" thickBot="1">
      <c r="A46" s="978" t="s">
        <v>947</v>
      </c>
      <c r="E46" s="967"/>
    </row>
    <row r="47" spans="1:5" ht="12.75">
      <c r="A47" s="571" t="s">
        <v>487</v>
      </c>
      <c r="B47" s="989">
        <f>IF(B11=1,B8+B9,0)</f>
        <v>0</v>
      </c>
      <c r="C47" s="974"/>
      <c r="D47" s="574">
        <f t="shared" ref="D47:D52" si="1">B47*C47</f>
        <v>0</v>
      </c>
      <c r="E47" s="967"/>
    </row>
    <row r="48" spans="1:5" ht="12.75">
      <c r="A48" s="418" t="s">
        <v>484</v>
      </c>
      <c r="B48" s="990">
        <f>IF(B11=6,B8+B9,0)</f>
        <v>0</v>
      </c>
      <c r="C48" s="611"/>
      <c r="D48" s="323">
        <f t="shared" si="1"/>
        <v>0</v>
      </c>
      <c r="E48" s="967"/>
    </row>
    <row r="49" spans="1:5" ht="12.75">
      <c r="A49" s="418" t="s">
        <v>589</v>
      </c>
      <c r="B49" s="990">
        <f>IF(B11=5,B8+B9,0)</f>
        <v>0</v>
      </c>
      <c r="C49" s="611"/>
      <c r="D49" s="323">
        <f t="shared" si="1"/>
        <v>0</v>
      </c>
      <c r="E49" s="967"/>
    </row>
    <row r="50" spans="1:5" ht="12.75">
      <c r="A50" s="418" t="s">
        <v>485</v>
      </c>
      <c r="B50" s="990">
        <f>IF(B11=2,B8+B9,0)</f>
        <v>0</v>
      </c>
      <c r="C50" s="611"/>
      <c r="D50" s="323">
        <f t="shared" si="1"/>
        <v>0</v>
      </c>
    </row>
    <row r="51" spans="1:5" ht="12.75">
      <c r="A51" s="418" t="s">
        <v>486</v>
      </c>
      <c r="B51" s="990">
        <f>IF(B11=3,B8+B9,0)</f>
        <v>0</v>
      </c>
      <c r="C51" s="611"/>
      <c r="D51" s="323">
        <f t="shared" si="1"/>
        <v>0</v>
      </c>
    </row>
    <row r="52" spans="1:5" ht="13.5" thickBot="1">
      <c r="A52" s="975" t="s">
        <v>492</v>
      </c>
      <c r="B52" s="991">
        <f>IF(B11=4,B8+B9,0)</f>
        <v>1</v>
      </c>
      <c r="C52" s="976"/>
      <c r="D52" s="333">
        <f t="shared" si="1"/>
        <v>0</v>
      </c>
    </row>
    <row r="53" spans="1:5" ht="13.5" thickBot="1">
      <c r="C53" s="977" t="s">
        <v>9</v>
      </c>
      <c r="D53" s="983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958</v>
      </c>
      <c r="B5" s="955">
        <v>5</v>
      </c>
      <c r="C5" s="1427" t="s">
        <v>593</v>
      </c>
      <c r="D5" s="1427"/>
      <c r="E5" s="1428"/>
    </row>
    <row r="6" spans="1:5" ht="12" thickBot="1">
      <c r="A6" s="956" t="s">
        <v>1</v>
      </c>
      <c r="B6" s="957">
        <v>0</v>
      </c>
      <c r="C6" s="1429"/>
      <c r="D6" s="1429"/>
      <c r="E6" s="1430"/>
    </row>
    <row r="7" spans="1:5" ht="12" thickBot="1">
      <c r="A7" s="999" t="s">
        <v>959</v>
      </c>
      <c r="B7" s="958">
        <v>2</v>
      </c>
      <c r="C7" s="1431" t="s">
        <v>960</v>
      </c>
      <c r="D7" s="1431"/>
      <c r="E7" s="1432"/>
    </row>
    <row r="8" spans="1:5" ht="12" thickBot="1">
      <c r="A8" s="999" t="s">
        <v>508</v>
      </c>
      <c r="B8" s="959">
        <v>0</v>
      </c>
      <c r="C8" s="1433"/>
      <c r="D8" s="1433"/>
      <c r="E8" s="1434"/>
    </row>
    <row r="9" spans="1:5" ht="12" thickBot="1">
      <c r="A9" s="1000" t="s">
        <v>961</v>
      </c>
      <c r="B9" s="1001">
        <v>1</v>
      </c>
      <c r="C9" s="1445" t="s">
        <v>962</v>
      </c>
      <c r="D9" s="1446"/>
      <c r="E9" s="1447"/>
    </row>
    <row r="10" spans="1:5" ht="12.75" customHeight="1" thickBot="1">
      <c r="A10" s="992" t="s">
        <v>971</v>
      </c>
      <c r="B10" s="1040">
        <v>1</v>
      </c>
      <c r="C10" s="1454" t="s">
        <v>979</v>
      </c>
      <c r="D10" s="1455"/>
      <c r="E10" s="1456"/>
    </row>
    <row r="11" spans="1:5" ht="27" customHeight="1" thickBot="1">
      <c r="A11" s="1038" t="s">
        <v>587</v>
      </c>
      <c r="B11" s="1039">
        <v>4</v>
      </c>
      <c r="C11" s="1437" t="s">
        <v>948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595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B13*2*(B7+B8)*B9</f>
        <v>0</v>
      </c>
      <c r="C17" s="458"/>
      <c r="D17" s="995">
        <f t="shared" ref="D17:D46" si="0">C17*B17</f>
        <v>0</v>
      </c>
      <c r="E17" s="967"/>
    </row>
    <row r="18" spans="1:5">
      <c r="A18" s="341" t="s">
        <v>399</v>
      </c>
      <c r="B18" s="342">
        <f>B14*(B7+B8)*B9</f>
        <v>0</v>
      </c>
      <c r="C18" s="551"/>
      <c r="D18" s="996">
        <f t="shared" si="0"/>
        <v>0</v>
      </c>
      <c r="E18" s="967"/>
    </row>
    <row r="19" spans="1:5">
      <c r="A19" s="346" t="s">
        <v>981</v>
      </c>
      <c r="B19" s="969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6">
        <f t="shared" si="0"/>
        <v>0</v>
      </c>
      <c r="E19" s="967"/>
    </row>
    <row r="20" spans="1:5">
      <c r="A20" t="s">
        <v>973</v>
      </c>
      <c r="B20" s="969">
        <f>B9*B10</f>
        <v>1</v>
      </c>
      <c r="C20" s="551"/>
      <c r="D20" s="996">
        <f t="shared" si="0"/>
        <v>0</v>
      </c>
      <c r="E20" s="967"/>
    </row>
    <row r="21" spans="1:5">
      <c r="A21" s="346" t="s">
        <v>980</v>
      </c>
      <c r="B21" s="347">
        <f>IF(B5&gt;0,(B9),0)</f>
        <v>1</v>
      </c>
      <c r="C21" s="551"/>
      <c r="D21" s="996">
        <f t="shared" si="0"/>
        <v>0</v>
      </c>
      <c r="E21" s="967"/>
    </row>
    <row r="22" spans="1:5">
      <c r="A22" s="346" t="s">
        <v>975</v>
      </c>
      <c r="B22" s="347">
        <f>IF(B5&gt;0,(B9),0)</f>
        <v>1</v>
      </c>
      <c r="C22" s="551"/>
      <c r="D22" s="996">
        <f t="shared" si="0"/>
        <v>0</v>
      </c>
      <c r="E22" s="967"/>
    </row>
    <row r="23" spans="1:5">
      <c r="A23" s="346" t="s">
        <v>990</v>
      </c>
      <c r="B23" s="347">
        <f>IF(B7&gt;0,(B7-1)*B9*2,0)</f>
        <v>2</v>
      </c>
      <c r="C23" s="551"/>
      <c r="D23" s="996">
        <f t="shared" si="0"/>
        <v>0</v>
      </c>
      <c r="E23" s="967"/>
    </row>
    <row r="24" spans="1:5">
      <c r="A24" s="346" t="s">
        <v>991</v>
      </c>
      <c r="B24" s="347">
        <f>IF(B8&gt;0,(B8-1)*B9*2,0)</f>
        <v>0</v>
      </c>
      <c r="C24" s="551"/>
      <c r="D24" s="996">
        <f t="shared" si="0"/>
        <v>0</v>
      </c>
      <c r="E24" s="967"/>
    </row>
    <row r="25" spans="1:5">
      <c r="A25" s="346" t="s">
        <v>974</v>
      </c>
      <c r="B25" s="347">
        <f>(B7+B8-1)*B9</f>
        <v>1</v>
      </c>
      <c r="C25" s="551"/>
      <c r="D25" s="996">
        <f t="shared" si="0"/>
        <v>0</v>
      </c>
      <c r="E25" s="967"/>
    </row>
    <row r="26" spans="1:5">
      <c r="A26" s="346" t="s">
        <v>963</v>
      </c>
      <c r="B26" s="347">
        <f>(B7+B8-1)*B9</f>
        <v>1</v>
      </c>
      <c r="C26" s="551"/>
      <c r="D26" s="996">
        <f t="shared" si="0"/>
        <v>0</v>
      </c>
      <c r="E26" s="967"/>
    </row>
    <row r="27" spans="1:5">
      <c r="A27" s="341" t="s">
        <v>976</v>
      </c>
      <c r="B27" s="350">
        <f>B9*2</f>
        <v>2</v>
      </c>
      <c r="C27" s="551"/>
      <c r="D27" s="996">
        <f t="shared" si="0"/>
        <v>0</v>
      </c>
      <c r="E27" s="967"/>
    </row>
    <row r="28" spans="1:5">
      <c r="A28" s="346" t="s">
        <v>118</v>
      </c>
      <c r="B28" s="342">
        <f>IF(B8&gt;0,B5*B9,0)</f>
        <v>0</v>
      </c>
      <c r="C28" s="551"/>
      <c r="D28" s="996">
        <f t="shared" si="0"/>
        <v>0</v>
      </c>
      <c r="E28" s="967"/>
    </row>
    <row r="29" spans="1:5">
      <c r="A29" s="346" t="s">
        <v>938</v>
      </c>
      <c r="B29" s="342">
        <f>B5*B9</f>
        <v>5</v>
      </c>
      <c r="C29" s="551"/>
      <c r="D29" s="996">
        <f t="shared" si="0"/>
        <v>0</v>
      </c>
      <c r="E29" s="967"/>
    </row>
    <row r="30" spans="1:5">
      <c r="A30" s="341" t="s">
        <v>939</v>
      </c>
      <c r="B30" s="342">
        <f>IF(B7&gt;0,B5*B9,0)</f>
        <v>5</v>
      </c>
      <c r="C30" s="551"/>
      <c r="D30" s="996">
        <f t="shared" si="0"/>
        <v>0</v>
      </c>
      <c r="E30" s="967"/>
    </row>
    <row r="31" spans="1:5">
      <c r="A31" s="341" t="s">
        <v>940</v>
      </c>
      <c r="B31" s="347">
        <f>IF(B7&gt;0,B5*B9,0)</f>
        <v>5</v>
      </c>
      <c r="C31" s="551"/>
      <c r="D31" s="996">
        <f t="shared" si="0"/>
        <v>0</v>
      </c>
      <c r="E31" s="967"/>
    </row>
    <row r="32" spans="1:5">
      <c r="A32" s="341" t="s">
        <v>941</v>
      </c>
      <c r="B32" s="342">
        <f>IF(B8&gt;0,B5*B9,0)</f>
        <v>0</v>
      </c>
      <c r="C32" s="551"/>
      <c r="D32" s="996">
        <f t="shared" si="0"/>
        <v>0</v>
      </c>
      <c r="E32" s="967"/>
    </row>
    <row r="33" spans="1:5">
      <c r="A33" s="346" t="s">
        <v>943</v>
      </c>
      <c r="B33" s="347">
        <f>IF(B8&gt;0,B9,0)</f>
        <v>0</v>
      </c>
      <c r="C33" s="551"/>
      <c r="D33" s="996"/>
      <c r="E33" s="967"/>
    </row>
    <row r="34" spans="1:5">
      <c r="A34" s="346" t="s">
        <v>944</v>
      </c>
      <c r="B34" s="347">
        <f>IF(B7&gt;0,B9,0)</f>
        <v>1</v>
      </c>
      <c r="C34" s="551"/>
      <c r="D34" s="996"/>
      <c r="E34" s="967"/>
    </row>
    <row r="35" spans="1:5">
      <c r="A35" s="346" t="s">
        <v>946</v>
      </c>
      <c r="B35" s="347">
        <f>B9</f>
        <v>1</v>
      </c>
      <c r="C35" s="551"/>
      <c r="D35" s="996"/>
      <c r="E35" s="967"/>
    </row>
    <row r="36" spans="1:5">
      <c r="A36" s="346" t="s">
        <v>945</v>
      </c>
      <c r="B36" s="347">
        <f>IF(B8&gt;0,B9,0)</f>
        <v>0</v>
      </c>
      <c r="C36" s="551"/>
      <c r="D36" s="996"/>
      <c r="E36" s="967"/>
    </row>
    <row r="37" spans="1:5" ht="12.75">
      <c r="A37" s="982" t="s">
        <v>144</v>
      </c>
      <c r="B37" s="347">
        <f>B12</f>
        <v>0</v>
      </c>
      <c r="C37" s="551"/>
      <c r="D37" s="996"/>
    </row>
    <row r="38" spans="1:5">
      <c r="A38" s="341" t="s">
        <v>977</v>
      </c>
      <c r="B38" s="342">
        <f>B9*B5</f>
        <v>5</v>
      </c>
      <c r="C38" s="551"/>
      <c r="D38" s="996">
        <f t="shared" si="0"/>
        <v>0</v>
      </c>
    </row>
    <row r="39" spans="1:5">
      <c r="A39" s="341" t="s">
        <v>986</v>
      </c>
      <c r="B39" s="342">
        <f>IF(B7&gt;0,B5*B9,0)</f>
        <v>5</v>
      </c>
      <c r="C39" s="551"/>
      <c r="D39" s="996">
        <f t="shared" si="0"/>
        <v>0</v>
      </c>
    </row>
    <row r="40" spans="1:5">
      <c r="A40" s="346" t="s">
        <v>987</v>
      </c>
      <c r="B40" s="347">
        <f>IF(B8&gt;0,B5*B9,0)</f>
        <v>0</v>
      </c>
      <c r="C40" s="551"/>
      <c r="D40" s="996">
        <f t="shared" si="0"/>
        <v>0</v>
      </c>
    </row>
    <row r="41" spans="1:5">
      <c r="A41" s="346" t="s">
        <v>890</v>
      </c>
      <c r="B41" s="347">
        <f>(B7+B8-1)*2*B9</f>
        <v>2</v>
      </c>
      <c r="C41" s="551"/>
      <c r="D41" s="996">
        <f t="shared" si="0"/>
        <v>0</v>
      </c>
    </row>
    <row r="42" spans="1:5">
      <c r="A42" s="346" t="s">
        <v>787</v>
      </c>
      <c r="B42" s="347">
        <f>B9*4</f>
        <v>4</v>
      </c>
      <c r="C42" s="551"/>
      <c r="D42" s="996">
        <f t="shared" si="0"/>
        <v>0</v>
      </c>
    </row>
    <row r="43" spans="1:5">
      <c r="A43" s="346" t="s">
        <v>978</v>
      </c>
      <c r="B43" s="347">
        <f>B9*4</f>
        <v>4</v>
      </c>
      <c r="C43" s="551"/>
      <c r="D43" s="996">
        <f t="shared" si="0"/>
        <v>0</v>
      </c>
    </row>
    <row r="44" spans="1:5">
      <c r="A44" s="346" t="s">
        <v>400</v>
      </c>
      <c r="B44" s="347">
        <f>B9*B5</f>
        <v>5</v>
      </c>
      <c r="C44" s="551"/>
      <c r="D44" s="996">
        <f t="shared" si="0"/>
        <v>0</v>
      </c>
    </row>
    <row r="45" spans="1:5">
      <c r="A45" s="346" t="s">
        <v>401</v>
      </c>
      <c r="B45" s="347">
        <f>B14*B5*B9</f>
        <v>0</v>
      </c>
      <c r="C45" s="551"/>
      <c r="D45" s="996">
        <f t="shared" si="0"/>
        <v>0</v>
      </c>
    </row>
    <row r="46" spans="1:5" ht="12" thickBot="1">
      <c r="A46" s="971" t="s">
        <v>942</v>
      </c>
      <c r="B46" s="402">
        <f>IF(B7&gt;0,B9,0)</f>
        <v>1</v>
      </c>
      <c r="C46" s="590"/>
      <c r="D46" s="997">
        <f t="shared" si="0"/>
        <v>0</v>
      </c>
    </row>
    <row r="47" spans="1:5" ht="13.5" thickBot="1">
      <c r="A47" s="316"/>
      <c r="B47" s="316"/>
      <c r="C47" s="384" t="s">
        <v>9</v>
      </c>
      <c r="D47" s="973">
        <f>SUMIF(D17:D46,"&gt;0",D17:D46)</f>
        <v>0</v>
      </c>
    </row>
    <row r="50" spans="1:4" ht="15.75" thickBot="1">
      <c r="A50" s="978" t="s">
        <v>947</v>
      </c>
    </row>
    <row r="51" spans="1:4" ht="12.75">
      <c r="A51" s="571" t="s">
        <v>487</v>
      </c>
      <c r="B51" s="989">
        <f>IF(B11=1,B9,0)</f>
        <v>0</v>
      </c>
      <c r="C51" s="974"/>
      <c r="D51" s="574">
        <f t="shared" ref="D51:D56" si="1">B51*C51</f>
        <v>0</v>
      </c>
    </row>
    <row r="52" spans="1:4" ht="12.75">
      <c r="A52" s="418" t="s">
        <v>484</v>
      </c>
      <c r="B52" s="990">
        <f>IF(B11=6,B9,0)</f>
        <v>0</v>
      </c>
      <c r="C52" s="611"/>
      <c r="D52" s="323">
        <f t="shared" si="1"/>
        <v>0</v>
      </c>
    </row>
    <row r="53" spans="1:4" ht="12.75">
      <c r="A53" s="418" t="s">
        <v>589</v>
      </c>
      <c r="B53" s="990">
        <f>IF(B11=5,B9,0)</f>
        <v>0</v>
      </c>
      <c r="C53" s="611"/>
      <c r="D53" s="323">
        <f t="shared" si="1"/>
        <v>0</v>
      </c>
    </row>
    <row r="54" spans="1:4" ht="12.75">
      <c r="A54" s="418" t="s">
        <v>485</v>
      </c>
      <c r="B54" s="990">
        <f>IF(B11=2,B9,0)</f>
        <v>0</v>
      </c>
      <c r="C54" s="611"/>
      <c r="D54" s="323">
        <f t="shared" si="1"/>
        <v>0</v>
      </c>
    </row>
    <row r="55" spans="1:4" ht="12.75">
      <c r="A55" s="418" t="s">
        <v>486</v>
      </c>
      <c r="B55" s="990">
        <f>IF(B11=3,B9,0)</f>
        <v>0</v>
      </c>
      <c r="C55" s="611"/>
      <c r="D55" s="323">
        <f t="shared" si="1"/>
        <v>0</v>
      </c>
    </row>
    <row r="56" spans="1:4" ht="13.5" thickBot="1">
      <c r="A56" s="975" t="s">
        <v>492</v>
      </c>
      <c r="B56" s="991">
        <f>IF(B11=4,B9,0)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955</v>
      </c>
      <c r="B5" s="955">
        <v>4</v>
      </c>
      <c r="C5" s="1371" t="s">
        <v>593</v>
      </c>
      <c r="D5" s="1372"/>
      <c r="E5" s="1373"/>
    </row>
    <row r="6" spans="1:5" ht="12" thickBot="1">
      <c r="A6" s="956" t="s">
        <v>556</v>
      </c>
      <c r="B6" s="957">
        <v>2</v>
      </c>
      <c r="C6" s="1442"/>
      <c r="D6" s="1443"/>
      <c r="E6" s="1444"/>
    </row>
    <row r="7" spans="1:5">
      <c r="A7" s="954" t="s">
        <v>956</v>
      </c>
      <c r="B7" s="955">
        <v>1</v>
      </c>
      <c r="C7" s="1442"/>
      <c r="D7" s="1443"/>
      <c r="E7" s="1444"/>
    </row>
    <row r="8" spans="1:5" ht="12" thickBot="1">
      <c r="A8" s="956" t="s">
        <v>557</v>
      </c>
      <c r="B8" s="957">
        <v>2</v>
      </c>
      <c r="C8" s="1374"/>
      <c r="D8" s="1375"/>
      <c r="E8" s="1376"/>
    </row>
    <row r="9" spans="1:5">
      <c r="A9" s="954" t="s">
        <v>937</v>
      </c>
      <c r="B9" s="958">
        <v>1</v>
      </c>
      <c r="C9" s="1431" t="s">
        <v>595</v>
      </c>
      <c r="D9" s="1431"/>
      <c r="E9" s="1432"/>
    </row>
    <row r="10" spans="1:5" ht="12" thickBot="1">
      <c r="A10" s="956" t="s">
        <v>413</v>
      </c>
      <c r="B10" s="959">
        <v>0</v>
      </c>
      <c r="C10" s="1433"/>
      <c r="D10" s="1433"/>
      <c r="E10" s="1434"/>
    </row>
    <row r="11" spans="1:5" ht="12" thickBot="1">
      <c r="A11" s="1033" t="s">
        <v>971</v>
      </c>
      <c r="B11" s="1034">
        <v>1</v>
      </c>
      <c r="C11" s="520" t="s">
        <v>286</v>
      </c>
      <c r="D11" s="373" t="s">
        <v>972</v>
      </c>
      <c r="E11" s="1035"/>
    </row>
    <row r="12" spans="1:5" ht="22.5" customHeight="1" thickBot="1">
      <c r="A12" s="1031" t="s">
        <v>587</v>
      </c>
      <c r="B12" s="1032">
        <v>4</v>
      </c>
      <c r="C12" s="1457" t="s">
        <v>948</v>
      </c>
      <c r="D12" s="1458"/>
      <c r="E12" s="1459"/>
    </row>
    <row r="13" spans="1:5" ht="12" thickBot="1">
      <c r="A13" s="1030" t="s">
        <v>276</v>
      </c>
      <c r="B13" s="895">
        <v>1</v>
      </c>
      <c r="C13" s="1262" t="s">
        <v>30</v>
      </c>
      <c r="D13" s="1275"/>
      <c r="E13" s="1263"/>
    </row>
    <row r="14" spans="1:5">
      <c r="A14" s="1004" t="s">
        <v>361</v>
      </c>
      <c r="B14" s="1005">
        <v>0</v>
      </c>
      <c r="C14" s="511" t="s">
        <v>286</v>
      </c>
      <c r="D14" s="369" t="s">
        <v>254</v>
      </c>
      <c r="E14" s="1452" t="s">
        <v>595</v>
      </c>
    </row>
    <row r="15" spans="1:5" ht="12" thickBot="1">
      <c r="A15" s="1006" t="s">
        <v>964</v>
      </c>
      <c r="B15" s="1007">
        <v>0</v>
      </c>
      <c r="C15" s="521" t="s">
        <v>286</v>
      </c>
      <c r="D15" s="371" t="s">
        <v>254</v>
      </c>
      <c r="E15" s="1453"/>
    </row>
    <row r="16" spans="1:5" ht="12" thickBot="1">
      <c r="A16" s="1449"/>
      <c r="B16" s="1449"/>
      <c r="C16" s="1449"/>
      <c r="D16" s="1449"/>
      <c r="E16" s="1017"/>
    </row>
    <row r="17" spans="1:5" ht="12.75">
      <c r="A17" s="961" t="s">
        <v>5</v>
      </c>
      <c r="B17" s="962" t="s">
        <v>0</v>
      </c>
      <c r="C17" s="963" t="s">
        <v>4</v>
      </c>
      <c r="D17" s="964" t="s">
        <v>8</v>
      </c>
      <c r="E17" s="965"/>
    </row>
    <row r="18" spans="1:5">
      <c r="A18" s="341" t="s">
        <v>116</v>
      </c>
      <c r="B18" s="478">
        <f>(B14)*4*(B9+B10)</f>
        <v>0</v>
      </c>
      <c r="C18" s="616"/>
      <c r="D18" s="996">
        <f t="shared" ref="D18:D45" si="0">C18*B18</f>
        <v>0</v>
      </c>
      <c r="E18" s="967"/>
    </row>
    <row r="19" spans="1:5">
      <c r="A19" s="341" t="s">
        <v>965</v>
      </c>
      <c r="B19" s="342">
        <f>B15*(B9+B10)*2</f>
        <v>0</v>
      </c>
      <c r="C19" s="551"/>
      <c r="D19" s="996">
        <f t="shared" si="0"/>
        <v>0</v>
      </c>
      <c r="E19" s="967"/>
    </row>
    <row r="20" spans="1:5">
      <c r="A20" s="346" t="s">
        <v>981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6">
        <f t="shared" si="0"/>
        <v>0</v>
      </c>
      <c r="E20" s="967"/>
    </row>
    <row r="21" spans="1:5">
      <c r="A21" s="346" t="s">
        <v>973</v>
      </c>
      <c r="B21" s="347">
        <f>B11*(B9+B10)</f>
        <v>1</v>
      </c>
      <c r="C21" s="551"/>
      <c r="D21" s="996">
        <f t="shared" si="0"/>
        <v>0</v>
      </c>
      <c r="E21" s="967"/>
    </row>
    <row r="22" spans="1:5">
      <c r="A22" t="s">
        <v>974</v>
      </c>
      <c r="B22" s="347">
        <f>B9+B10</f>
        <v>1</v>
      </c>
      <c r="C22" s="551"/>
      <c r="D22" s="996">
        <f t="shared" si="0"/>
        <v>0</v>
      </c>
      <c r="E22" s="967"/>
    </row>
    <row r="23" spans="1:5">
      <c r="A23" s="346" t="s">
        <v>996</v>
      </c>
      <c r="B23" s="347">
        <f>B10*2</f>
        <v>0</v>
      </c>
      <c r="C23" s="551"/>
      <c r="D23" s="996">
        <f t="shared" si="0"/>
        <v>0</v>
      </c>
      <c r="E23" s="967"/>
    </row>
    <row r="24" spans="1:5">
      <c r="A24" s="346" t="s">
        <v>957</v>
      </c>
      <c r="B24" s="347">
        <f>B9+B10</f>
        <v>1</v>
      </c>
      <c r="C24" s="551"/>
      <c r="D24" s="996">
        <f t="shared" si="0"/>
        <v>0</v>
      </c>
      <c r="E24" s="967"/>
    </row>
    <row r="25" spans="1:5">
      <c r="A25" s="346" t="s">
        <v>975</v>
      </c>
      <c r="B25" s="347">
        <f>IF(B5&gt;0,(B9+B10)*2,0)</f>
        <v>2</v>
      </c>
      <c r="C25" s="551"/>
      <c r="D25" s="996">
        <f t="shared" si="0"/>
        <v>0</v>
      </c>
      <c r="E25" s="967"/>
    </row>
    <row r="26" spans="1:5">
      <c r="A26" s="341" t="s">
        <v>976</v>
      </c>
      <c r="B26" s="350">
        <f>(B9+B10)*2</f>
        <v>2</v>
      </c>
      <c r="C26" s="551"/>
      <c r="D26" s="996">
        <f t="shared" si="0"/>
        <v>0</v>
      </c>
      <c r="E26" s="967"/>
    </row>
    <row r="27" spans="1:5">
      <c r="A27" s="346" t="s">
        <v>118</v>
      </c>
      <c r="B27" s="342">
        <f>IF(B10&gt;0,(B5+B7)*B10+#REF!*(B5+B7)*(B9+B10),0)</f>
        <v>0</v>
      </c>
      <c r="C27" s="551"/>
      <c r="D27" s="996">
        <f t="shared" si="0"/>
        <v>0</v>
      </c>
      <c r="E27" s="967"/>
    </row>
    <row r="28" spans="1:5">
      <c r="A28" s="341" t="s">
        <v>966</v>
      </c>
      <c r="B28" s="342">
        <f>(B5+B7)*(B9+B10)*B14*2</f>
        <v>0</v>
      </c>
      <c r="C28" s="551"/>
      <c r="D28" s="996">
        <f t="shared" si="0"/>
        <v>0</v>
      </c>
      <c r="E28" s="967"/>
    </row>
    <row r="29" spans="1:5">
      <c r="A29" s="346" t="s">
        <v>938</v>
      </c>
      <c r="B29" s="342">
        <f>((B5+B7)*(B9+B10)+(B5+B7)*(B9+B10))*B15</f>
        <v>0</v>
      </c>
      <c r="C29" s="551"/>
      <c r="D29" s="996">
        <f t="shared" si="0"/>
        <v>0</v>
      </c>
      <c r="E29" s="967"/>
    </row>
    <row r="30" spans="1:5">
      <c r="A30" s="341" t="s">
        <v>939</v>
      </c>
      <c r="B30" s="342">
        <f>(B5+B7)*B9</f>
        <v>5</v>
      </c>
      <c r="C30" s="551"/>
      <c r="D30" s="996">
        <f t="shared" si="0"/>
        <v>0</v>
      </c>
      <c r="E30" s="967"/>
    </row>
    <row r="31" spans="1:5">
      <c r="A31" s="346" t="s">
        <v>943</v>
      </c>
      <c r="B31" s="347">
        <f>IF(B10&gt;0,B10,0)</f>
        <v>0</v>
      </c>
      <c r="C31" s="551"/>
      <c r="D31" s="996">
        <f t="shared" si="0"/>
        <v>0</v>
      </c>
      <c r="E31" s="967"/>
    </row>
    <row r="32" spans="1:5">
      <c r="A32" s="346" t="s">
        <v>944</v>
      </c>
      <c r="B32" s="347">
        <f>IF(B9&gt;0,B9,0)</f>
        <v>1</v>
      </c>
      <c r="C32" s="551"/>
      <c r="D32" s="996">
        <f t="shared" si="0"/>
        <v>0</v>
      </c>
      <c r="E32" s="967"/>
    </row>
    <row r="33" spans="1:5">
      <c r="A33" s="346" t="s">
        <v>946</v>
      </c>
      <c r="B33" s="347">
        <f>B9+B10</f>
        <v>1</v>
      </c>
      <c r="C33" s="551"/>
      <c r="D33" s="996">
        <f t="shared" si="0"/>
        <v>0</v>
      </c>
      <c r="E33" s="967"/>
    </row>
    <row r="34" spans="1:5">
      <c r="A34" s="346" t="s">
        <v>945</v>
      </c>
      <c r="B34" s="347">
        <f>IF(B10&gt;0,B10,0)</f>
        <v>0</v>
      </c>
      <c r="C34" s="551"/>
      <c r="D34" s="996">
        <f t="shared" si="0"/>
        <v>0</v>
      </c>
      <c r="E34" s="967"/>
    </row>
    <row r="35" spans="1:5" ht="12.75">
      <c r="A35" s="982" t="s">
        <v>144</v>
      </c>
      <c r="B35" s="347">
        <f>B13</f>
        <v>1</v>
      </c>
      <c r="C35" s="551"/>
      <c r="D35" s="996">
        <f t="shared" si="0"/>
        <v>0</v>
      </c>
      <c r="E35" s="967"/>
    </row>
    <row r="36" spans="1:5">
      <c r="A36" s="341" t="s">
        <v>940</v>
      </c>
      <c r="B36" s="347">
        <f>(B5+B7)*B9</f>
        <v>5</v>
      </c>
      <c r="C36" s="551"/>
      <c r="D36" s="996">
        <f t="shared" si="0"/>
        <v>0</v>
      </c>
      <c r="E36" s="967"/>
    </row>
    <row r="37" spans="1:5">
      <c r="A37" s="341" t="s">
        <v>941</v>
      </c>
      <c r="B37" s="342">
        <f>(B5+B7)*B10</f>
        <v>0</v>
      </c>
      <c r="C37" s="551"/>
      <c r="D37" s="996">
        <f t="shared" si="0"/>
        <v>0</v>
      </c>
      <c r="E37" s="967"/>
    </row>
    <row r="38" spans="1:5">
      <c r="A38" s="341" t="s">
        <v>977</v>
      </c>
      <c r="B38" s="342">
        <f>(B9+B10)*B5</f>
        <v>4</v>
      </c>
      <c r="C38" s="551"/>
      <c r="D38" s="996">
        <f t="shared" si="0"/>
        <v>0</v>
      </c>
      <c r="E38" s="967"/>
    </row>
    <row r="39" spans="1:5">
      <c r="A39" s="341" t="s">
        <v>997</v>
      </c>
      <c r="B39" s="342">
        <f>B9*2</f>
        <v>2</v>
      </c>
      <c r="C39" s="551"/>
      <c r="D39" s="996">
        <f t="shared" si="0"/>
        <v>0</v>
      </c>
      <c r="E39" s="967"/>
    </row>
    <row r="40" spans="1:5">
      <c r="A40" s="346" t="s">
        <v>890</v>
      </c>
      <c r="B40" s="347">
        <f>(B9+B10)*2</f>
        <v>2</v>
      </c>
      <c r="C40" s="551"/>
      <c r="D40" s="996">
        <f t="shared" si="0"/>
        <v>0</v>
      </c>
      <c r="E40" s="967"/>
    </row>
    <row r="41" spans="1:5">
      <c r="A41" s="346" t="s">
        <v>787</v>
      </c>
      <c r="B41" s="347">
        <f>(B10+B9)*4</f>
        <v>4</v>
      </c>
      <c r="C41" s="551"/>
      <c r="D41" s="996">
        <f t="shared" si="0"/>
        <v>0</v>
      </c>
      <c r="E41" s="967"/>
    </row>
    <row r="42" spans="1:5">
      <c r="A42" s="346" t="s">
        <v>978</v>
      </c>
      <c r="B42" s="347">
        <f>(B9+B10)*4</f>
        <v>4</v>
      </c>
      <c r="C42" s="551"/>
      <c r="D42" s="996">
        <f t="shared" si="0"/>
        <v>0</v>
      </c>
      <c r="E42" s="967"/>
    </row>
    <row r="43" spans="1:5">
      <c r="A43" s="346" t="s">
        <v>364</v>
      </c>
      <c r="B43" s="347">
        <f>(B5+B7)*(B9+B10)*B14</f>
        <v>0</v>
      </c>
      <c r="C43" s="551"/>
      <c r="D43" s="996">
        <f t="shared" si="0"/>
        <v>0</v>
      </c>
      <c r="E43" s="967"/>
    </row>
    <row r="44" spans="1:5">
      <c r="A44" s="346" t="s">
        <v>466</v>
      </c>
      <c r="B44" s="347">
        <f>(B5+B7)*(B9+B10)*B15</f>
        <v>0</v>
      </c>
      <c r="C44" s="551"/>
      <c r="D44" s="996">
        <f t="shared" si="0"/>
        <v>0</v>
      </c>
      <c r="E44" s="967"/>
    </row>
    <row r="45" spans="1:5" ht="12" thickBot="1">
      <c r="A45" s="971" t="s">
        <v>942</v>
      </c>
      <c r="B45" s="402">
        <f>B9*2</f>
        <v>2</v>
      </c>
      <c r="C45" s="590"/>
      <c r="D45" s="996">
        <f t="shared" si="0"/>
        <v>0</v>
      </c>
      <c r="E45" s="967"/>
    </row>
    <row r="46" spans="1:5" ht="13.5" thickBot="1">
      <c r="A46" s="316"/>
      <c r="B46" s="316"/>
      <c r="C46" s="384" t="s">
        <v>9</v>
      </c>
      <c r="D46" s="973">
        <f>SUMIF(D18:D45,"&gt;0",D18:D45)</f>
        <v>0</v>
      </c>
      <c r="E46" s="967"/>
    </row>
    <row r="47" spans="1:5">
      <c r="E47" s="967"/>
    </row>
    <row r="50" spans="1:4" ht="15.75" thickBot="1">
      <c r="A50" s="978" t="s">
        <v>947</v>
      </c>
    </row>
    <row r="51" spans="1:4" ht="12.75">
      <c r="A51" s="571" t="s">
        <v>487</v>
      </c>
      <c r="B51" s="989">
        <f>IF(B12=1,B9+B10,0)</f>
        <v>0</v>
      </c>
      <c r="C51" s="974"/>
      <c r="D51" s="574">
        <f t="shared" ref="D51:D56" si="1">B51*C51</f>
        <v>0</v>
      </c>
    </row>
    <row r="52" spans="1:4" ht="12.75">
      <c r="A52" s="418" t="s">
        <v>484</v>
      </c>
      <c r="B52" s="990">
        <f>IF(B12=6,B9+B10,0)</f>
        <v>0</v>
      </c>
      <c r="C52" s="611"/>
      <c r="D52" s="323">
        <f t="shared" si="1"/>
        <v>0</v>
      </c>
    </row>
    <row r="53" spans="1:4" ht="12.75">
      <c r="A53" s="418" t="s">
        <v>589</v>
      </c>
      <c r="B53" s="990">
        <f>IF(B12=5,B9+B10,0)</f>
        <v>0</v>
      </c>
      <c r="C53" s="611"/>
      <c r="D53" s="323">
        <f t="shared" si="1"/>
        <v>0</v>
      </c>
    </row>
    <row r="54" spans="1:4" ht="12.75">
      <c r="A54" s="418" t="s">
        <v>485</v>
      </c>
      <c r="B54" s="990">
        <f>IF(B12=2,B9+B10,0)</f>
        <v>0</v>
      </c>
      <c r="C54" s="611"/>
      <c r="D54" s="323">
        <f t="shared" si="1"/>
        <v>0</v>
      </c>
    </row>
    <row r="55" spans="1:4" ht="12.75">
      <c r="A55" s="418" t="s">
        <v>486</v>
      </c>
      <c r="B55" s="990">
        <f>IF(B12=3,B9+B10,0)</f>
        <v>0</v>
      </c>
      <c r="C55" s="611"/>
      <c r="D55" s="323">
        <f t="shared" si="1"/>
        <v>0</v>
      </c>
    </row>
    <row r="56" spans="1:4" ht="13.5" thickBot="1">
      <c r="A56" s="975" t="s">
        <v>492</v>
      </c>
      <c r="B56" s="991">
        <f>IF(B12=4,B9+B10,0)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73"/>
      <c r="C3" s="1274"/>
      <c r="D3" s="1274"/>
      <c r="E3" s="1274"/>
      <c r="F3" s="1016"/>
    </row>
    <row r="4" spans="2:6">
      <c r="B4" s="954" t="s">
        <v>958</v>
      </c>
      <c r="C4" s="955">
        <v>4</v>
      </c>
      <c r="D4" s="1427" t="s">
        <v>593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959</v>
      </c>
      <c r="C6" s="958">
        <v>3</v>
      </c>
      <c r="D6" s="1431" t="s">
        <v>960</v>
      </c>
      <c r="E6" s="1431"/>
      <c r="F6" s="1432"/>
    </row>
    <row r="7" spans="2:6" ht="12" thickBot="1">
      <c r="B7" s="999" t="s">
        <v>508</v>
      </c>
      <c r="C7" s="959">
        <v>0</v>
      </c>
      <c r="D7" s="1433"/>
      <c r="E7" s="1433"/>
      <c r="F7" s="1434"/>
    </row>
    <row r="8" spans="2:6" ht="12" thickBot="1">
      <c r="B8" s="1036" t="s">
        <v>961</v>
      </c>
      <c r="C8" s="1001">
        <v>1</v>
      </c>
      <c r="D8" s="1463" t="s">
        <v>962</v>
      </c>
      <c r="E8" s="1464"/>
      <c r="F8" s="1465"/>
    </row>
    <row r="9" spans="2:6" ht="12" thickBot="1">
      <c r="B9" s="1033" t="s">
        <v>971</v>
      </c>
      <c r="C9" s="1034">
        <v>1</v>
      </c>
      <c r="D9" s="1460" t="s">
        <v>979</v>
      </c>
      <c r="E9" s="1461"/>
      <c r="F9" s="1462"/>
    </row>
    <row r="10" spans="2:6" ht="23.25" customHeight="1" thickBot="1">
      <c r="B10" s="1038" t="s">
        <v>587</v>
      </c>
      <c r="C10" s="1039">
        <v>2</v>
      </c>
      <c r="D10" s="1437" t="s">
        <v>948</v>
      </c>
      <c r="E10" s="1438"/>
      <c r="F10" s="1439"/>
    </row>
    <row r="11" spans="2:6" ht="12" thickBot="1">
      <c r="B11" s="1030" t="s">
        <v>276</v>
      </c>
      <c r="C11" s="895">
        <v>1</v>
      </c>
      <c r="D11" s="1262" t="s">
        <v>30</v>
      </c>
      <c r="E11" s="1275"/>
      <c r="F11" s="1263"/>
    </row>
    <row r="12" spans="2:6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595</v>
      </c>
    </row>
    <row r="13" spans="2:6" ht="12" thickBot="1">
      <c r="B13" s="1006" t="s">
        <v>964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1017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7" si="0">D16*C16</f>
        <v>0</v>
      </c>
      <c r="F16" s="967"/>
    </row>
    <row r="17" spans="2:6">
      <c r="B17" s="341" t="s">
        <v>965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970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973</v>
      </c>
      <c r="C19" s="969">
        <f>C9*C8</f>
        <v>1</v>
      </c>
      <c r="D19" s="551"/>
      <c r="E19" s="996">
        <f t="shared" si="0"/>
        <v>0</v>
      </c>
      <c r="F19" s="967"/>
    </row>
    <row r="20" spans="2:6">
      <c r="B20" s="346" t="s">
        <v>982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975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990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991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974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963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976</v>
      </c>
      <c r="C26" s="970">
        <f>C8*2</f>
        <v>2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966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938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939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940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941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943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944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946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945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977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986</v>
      </c>
      <c r="C39" s="968">
        <f>IF(C6&gt;0,C4*C8,0)</f>
        <v>4</v>
      </c>
      <c r="D39" s="551"/>
      <c r="E39" s="996">
        <f t="shared" si="0"/>
        <v>0</v>
      </c>
      <c r="F39" s="967"/>
    </row>
    <row r="40" spans="2:6">
      <c r="B40" s="346" t="s">
        <v>987</v>
      </c>
      <c r="C40" s="969">
        <f>IF(C7&gt;0,C4*C8,0)</f>
        <v>0</v>
      </c>
      <c r="D40" s="551"/>
      <c r="E40" s="996">
        <f t="shared" si="0"/>
        <v>0</v>
      </c>
      <c r="F40" s="967"/>
    </row>
    <row r="41" spans="2:6">
      <c r="B41" s="346" t="s">
        <v>890</v>
      </c>
      <c r="C41" s="969">
        <f>(C6+C7-1)*2*C8</f>
        <v>4</v>
      </c>
      <c r="D41" s="551"/>
      <c r="E41" s="996">
        <f t="shared" si="0"/>
        <v>0</v>
      </c>
      <c r="F41" s="967"/>
    </row>
    <row r="42" spans="2:6">
      <c r="B42" s="346" t="s">
        <v>787</v>
      </c>
      <c r="C42" s="969">
        <f>C8*4</f>
        <v>4</v>
      </c>
      <c r="D42" s="551"/>
      <c r="E42" s="996">
        <f t="shared" si="0"/>
        <v>0</v>
      </c>
      <c r="F42" s="967"/>
    </row>
    <row r="43" spans="2:6">
      <c r="B43" s="346" t="s">
        <v>978</v>
      </c>
      <c r="C43" s="969">
        <f>C8*4</f>
        <v>4</v>
      </c>
      <c r="D43" s="551"/>
      <c r="E43" s="996">
        <f t="shared" si="0"/>
        <v>0</v>
      </c>
      <c r="F43" s="967"/>
    </row>
    <row r="44" spans="2:6">
      <c r="B44" s="346" t="s">
        <v>954</v>
      </c>
      <c r="C44" s="969">
        <f>C10*C8</f>
        <v>2</v>
      </c>
      <c r="D44" s="551"/>
      <c r="E44" s="996">
        <f t="shared" si="0"/>
        <v>0</v>
      </c>
      <c r="F44" s="967"/>
    </row>
    <row r="45" spans="2:6">
      <c r="B45" s="346" t="s">
        <v>364</v>
      </c>
      <c r="C45" s="969">
        <f>C4*C8*C12</f>
        <v>0</v>
      </c>
      <c r="D45" s="551"/>
      <c r="E45" s="996">
        <f t="shared" si="0"/>
        <v>0</v>
      </c>
      <c r="F45" s="967"/>
    </row>
    <row r="46" spans="2:6">
      <c r="B46" s="346" t="s">
        <v>967</v>
      </c>
      <c r="C46" s="969">
        <f>C4*C8*C13</f>
        <v>0</v>
      </c>
      <c r="D46" s="551"/>
      <c r="E46" s="996">
        <f t="shared" si="0"/>
        <v>0</v>
      </c>
    </row>
    <row r="47" spans="2:6" ht="12" thickBot="1">
      <c r="B47" s="971" t="s">
        <v>942</v>
      </c>
      <c r="C47" s="972">
        <f>IF(C6&gt;1,C8,0)</f>
        <v>1</v>
      </c>
      <c r="D47" s="590"/>
      <c r="E47" s="996">
        <f t="shared" si="0"/>
        <v>0</v>
      </c>
    </row>
    <row r="48" spans="2:6" ht="13.5" thickBot="1">
      <c r="B48" s="316"/>
      <c r="C48" s="316"/>
      <c r="D48" s="384" t="s">
        <v>9</v>
      </c>
      <c r="E48" s="973">
        <f>SUMIF(E16:E47,"&gt;0",E16:E47)</f>
        <v>0</v>
      </c>
    </row>
    <row r="51" spans="2:5" ht="15.75" thickBot="1">
      <c r="B51" s="978" t="s">
        <v>947</v>
      </c>
    </row>
    <row r="52" spans="2:5" ht="12.75">
      <c r="B52" s="571" t="s">
        <v>487</v>
      </c>
      <c r="C52" s="989">
        <f>IF(C10=1,C8,0)</f>
        <v>0</v>
      </c>
      <c r="D52" s="974"/>
      <c r="E52" s="574">
        <f t="shared" ref="E52:E57" si="1">C52*D52</f>
        <v>0</v>
      </c>
    </row>
    <row r="53" spans="2:5" ht="12.75">
      <c r="B53" s="418" t="s">
        <v>484</v>
      </c>
      <c r="C53" s="990">
        <f>IF(C10=6,C8,0)</f>
        <v>0</v>
      </c>
      <c r="D53" s="611"/>
      <c r="E53" s="323">
        <f t="shared" si="1"/>
        <v>0</v>
      </c>
    </row>
    <row r="54" spans="2:5" ht="12.75">
      <c r="B54" s="418" t="s">
        <v>589</v>
      </c>
      <c r="C54" s="990">
        <f>IF(C10=5,C8,0)</f>
        <v>0</v>
      </c>
      <c r="D54" s="611"/>
      <c r="E54" s="323">
        <f t="shared" si="1"/>
        <v>0</v>
      </c>
    </row>
    <row r="55" spans="2:5" ht="12.75">
      <c r="B55" s="418" t="s">
        <v>485</v>
      </c>
      <c r="C55" s="990">
        <f>IF(C10=2,C8,0)</f>
        <v>1</v>
      </c>
      <c r="D55" s="611"/>
      <c r="E55" s="323">
        <f t="shared" si="1"/>
        <v>0</v>
      </c>
    </row>
    <row r="56" spans="2:5" ht="12.75">
      <c r="B56" s="418" t="s">
        <v>486</v>
      </c>
      <c r="C56" s="990">
        <f>IF(C10=3,C8,0)</f>
        <v>0</v>
      </c>
      <c r="D56" s="611"/>
      <c r="E56" s="323">
        <f t="shared" si="1"/>
        <v>0</v>
      </c>
    </row>
    <row r="57" spans="2:5" ht="13.5" thickBot="1">
      <c r="B57" s="975" t="s">
        <v>492</v>
      </c>
      <c r="C57" s="991">
        <f>IF(C10=4,C8,0)</f>
        <v>0</v>
      </c>
      <c r="D57" s="976"/>
      <c r="E57" s="333">
        <f t="shared" si="1"/>
        <v>0</v>
      </c>
    </row>
    <row r="58" spans="2:5" ht="13.5" thickBot="1">
      <c r="D58" s="977" t="s">
        <v>9</v>
      </c>
      <c r="E58" s="983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2026-04-17T04:02:38Z</dcterms:modified>
</cp:coreProperties>
</file>