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X:\Технический отдел\!Расчеты!\РАСЧЕТЫ\"/>
    </mc:Choice>
  </mc:AlternateContent>
  <bookViews>
    <workbookView xWindow="-15" yWindow="0" windowWidth="2175" windowHeight="0" tabRatio="842" firstSheet="45" activeTab="53"/>
  </bookViews>
  <sheets>
    <sheet name="Вертикальные жалюзи " sheetId="161" r:id="rId1"/>
    <sheet name="UNI1" sheetId="153" r:id="rId2"/>
    <sheet name="UNI1-зебра" sheetId="152" r:id="rId3"/>
    <sheet name="UNI2" sheetId="154" r:id="rId4"/>
    <sheet name="UNI2-зебра" sheetId="155" r:id="rId5"/>
    <sheet name="MINI" sheetId="8" r:id="rId6"/>
    <sheet name="Ролла кассета 1" sheetId="157" r:id="rId7"/>
    <sheet name="Ролла кассета 2" sheetId="158" r:id="rId8"/>
    <sheet name="Ролла кассета 1 Зебра" sheetId="159" r:id="rId9"/>
    <sheet name="Ролла кассета 2 Зебра" sheetId="160" r:id="rId10"/>
    <sheet name="MINI-зебра из" sheetId="156" r:id="rId11"/>
    <sheet name="Holis, Волна" sheetId="9" r:id="rId12"/>
    <sheet name="1&quot;" sheetId="10" r:id="rId13"/>
    <sheet name="Классика AMG" sheetId="48" r:id="rId14"/>
    <sheet name="Кассета AMG" sheetId="56" r:id="rId15"/>
    <sheet name="День-Ночь AMG 45" sheetId="103" r:id="rId16"/>
    <sheet name="Классика Double AMG" sheetId="109" r:id="rId17"/>
    <sheet name="Классика Mono AMG" sheetId="113" r:id="rId18"/>
    <sheet name="Классика AMG XL" sheetId="164" r:id="rId19"/>
    <sheet name="P190x" sheetId="115" r:id="rId20"/>
    <sheet name="P390x" sheetId="116" r:id="rId21"/>
    <sheet name="P890x" sheetId="121" r:id="rId22"/>
    <sheet name="P891x" sheetId="122" r:id="rId23"/>
    <sheet name="Карнизы шторные" sheetId="118" r:id="rId24"/>
    <sheet name="Карнизы шторные Glydea" sheetId="120" r:id="rId25"/>
    <sheet name="Римские шторы" sheetId="119" r:id="rId26"/>
    <sheet name="Римские шторы MAXI" sheetId="162" r:id="rId27"/>
    <sheet name="Классикa BNT M " sheetId="125" r:id="rId28"/>
    <sheet name="День ночь BNT M" sheetId="163" r:id="rId29"/>
    <sheet name="Зебра BNT M" sheetId="126" r:id="rId30"/>
    <sheet name="Зебра кассета BNT М" sheetId="127" r:id="rId31"/>
    <sheet name="Кассета BNT M " sheetId="128" r:id="rId32"/>
    <sheet name="Классика BNT L" sheetId="129" r:id="rId33"/>
    <sheet name="Зебра BNT L" sheetId="130" r:id="rId34"/>
    <sheet name="Кассета ВNT L" sheetId="131" r:id="rId35"/>
    <sheet name="Классика Моно BNT М" sheetId="132" r:id="rId36"/>
    <sheet name="Кассета Моно BNT M" sheetId="133" r:id="rId37"/>
    <sheet name="Классика Моно BNT L" sheetId="134" r:id="rId38"/>
    <sheet name="Кассета Моно BNT L" sheetId="143" r:id="rId39"/>
    <sheet name="Моно Зебра BNT M" sheetId="144" r:id="rId40"/>
    <sheet name="Кассета Моно Зебра BNT M" sheetId="145" r:id="rId41"/>
    <sheet name="Моно Зебра BNT L" sheetId="146" r:id="rId42"/>
    <sheet name="Классика Double BNT L" sheetId="148" r:id="rId43"/>
    <sheet name="Зебра Double BNT L" sheetId="149" r:id="rId44"/>
    <sheet name="Кассета Double BNT L" sheetId="150" r:id="rId45"/>
    <sheet name="Лифт система" sheetId="165" r:id="rId46"/>
    <sheet name="Зебра АМГ L" sheetId="166" r:id="rId47"/>
    <sheet name="Зебра кассета АМГ L" sheetId="167" r:id="rId48"/>
    <sheet name="Зебра кассета Double АМГ L " sheetId="168" r:id="rId49"/>
    <sheet name="Зебра кассета MONO АМГ L " sheetId="169" r:id="rId50"/>
    <sheet name="Кассета АМГ L" sheetId="170" r:id="rId51"/>
    <sheet name="Кассета Double АМГ L" sheetId="171" r:id="rId52"/>
    <sheet name="Кассета MONO АМГ L " sheetId="172" r:id="rId53"/>
    <sheet name="Классика АМГ L " sheetId="173" r:id="rId54"/>
  </sheets>
  <calcPr calcId="162913"/>
</workbook>
</file>

<file path=xl/calcChain.xml><?xml version="1.0" encoding="utf-8"?>
<calcChain xmlns="http://schemas.openxmlformats.org/spreadsheetml/2006/main">
  <c r="C58" i="173" l="1"/>
  <c r="C57" i="173"/>
  <c r="E57" i="173" s="1"/>
  <c r="C56" i="173"/>
  <c r="E56" i="173" s="1"/>
  <c r="C55" i="173"/>
  <c r="C54" i="173"/>
  <c r="C53" i="173"/>
  <c r="E53" i="173" s="1"/>
  <c r="C37" i="173"/>
  <c r="C48" i="173"/>
  <c r="E48" i="173" s="1"/>
  <c r="C39" i="173"/>
  <c r="C38" i="173"/>
  <c r="E38" i="173" s="1"/>
  <c r="E37" i="173"/>
  <c r="C36" i="173"/>
  <c r="E36" i="173" s="1"/>
  <c r="C35" i="173"/>
  <c r="C17" i="166"/>
  <c r="C27" i="173"/>
  <c r="E27" i="173" s="1"/>
  <c r="E58" i="173"/>
  <c r="E55" i="173"/>
  <c r="E54" i="173"/>
  <c r="E39" i="173"/>
  <c r="E35" i="173"/>
  <c r="C47" i="173"/>
  <c r="E47" i="173" s="1"/>
  <c r="C46" i="173"/>
  <c r="E46" i="173" s="1"/>
  <c r="C45" i="173"/>
  <c r="E45" i="173" s="1"/>
  <c r="C44" i="173"/>
  <c r="E44" i="173" s="1"/>
  <c r="C43" i="173"/>
  <c r="E43" i="173" s="1"/>
  <c r="C42" i="173"/>
  <c r="E42" i="173" s="1"/>
  <c r="C41" i="173"/>
  <c r="E41" i="173" s="1"/>
  <c r="C40" i="173"/>
  <c r="E40" i="173" s="1"/>
  <c r="C34" i="173"/>
  <c r="E34" i="173" s="1"/>
  <c r="C33" i="173"/>
  <c r="E33" i="173" s="1"/>
  <c r="C32" i="173"/>
  <c r="E32" i="173" s="1"/>
  <c r="C31" i="173"/>
  <c r="E31" i="173" s="1"/>
  <c r="C30" i="173"/>
  <c r="E30" i="173" s="1"/>
  <c r="C29" i="173"/>
  <c r="E29" i="173" s="1"/>
  <c r="C28" i="173"/>
  <c r="E28" i="173" s="1"/>
  <c r="C26" i="173"/>
  <c r="E26" i="173" s="1"/>
  <c r="C25" i="173"/>
  <c r="E25" i="173" s="1"/>
  <c r="C24" i="173"/>
  <c r="E24" i="173" s="1"/>
  <c r="C23" i="173"/>
  <c r="E23" i="173" s="1"/>
  <c r="C22" i="173"/>
  <c r="E22" i="173" s="1"/>
  <c r="C21" i="173"/>
  <c r="E21" i="173" s="1"/>
  <c r="C20" i="173"/>
  <c r="E20" i="173" s="1"/>
  <c r="C19" i="173"/>
  <c r="E19" i="173" s="1"/>
  <c r="C18" i="173"/>
  <c r="E18" i="173" s="1"/>
  <c r="C63" i="172"/>
  <c r="C62" i="172"/>
  <c r="C61" i="172"/>
  <c r="C60" i="172"/>
  <c r="C59" i="172"/>
  <c r="C58" i="172"/>
  <c r="C53" i="172"/>
  <c r="C41" i="172"/>
  <c r="E41" i="172"/>
  <c r="C40" i="172"/>
  <c r="E40" i="172" s="1"/>
  <c r="C39" i="172"/>
  <c r="E39" i="172" s="1"/>
  <c r="E38" i="172"/>
  <c r="C38" i="172"/>
  <c r="C37" i="172"/>
  <c r="E37" i="172" s="1"/>
  <c r="E59" i="173" l="1"/>
  <c r="E49" i="173"/>
  <c r="C20" i="168"/>
  <c r="C19" i="168"/>
  <c r="C22" i="171"/>
  <c r="C19" i="169"/>
  <c r="C22" i="172"/>
  <c r="E22" i="172" s="1"/>
  <c r="C18" i="169"/>
  <c r="C21" i="172"/>
  <c r="E21" i="172" s="1"/>
  <c r="C23" i="171"/>
  <c r="C50" i="171"/>
  <c r="E53" i="172"/>
  <c r="C52" i="172"/>
  <c r="E52" i="172" s="1"/>
  <c r="C51" i="172"/>
  <c r="E51" i="172" s="1"/>
  <c r="C50" i="172"/>
  <c r="E50" i="172" s="1"/>
  <c r="C49" i="172"/>
  <c r="E49" i="172" s="1"/>
  <c r="C48" i="172"/>
  <c r="E48" i="172" s="1"/>
  <c r="C47" i="172"/>
  <c r="E47" i="172" s="1"/>
  <c r="C46" i="172"/>
  <c r="E46" i="172" s="1"/>
  <c r="C45" i="172"/>
  <c r="E45" i="172" s="1"/>
  <c r="C44" i="172"/>
  <c r="E44" i="172" s="1"/>
  <c r="C43" i="172"/>
  <c r="E43" i="172" s="1"/>
  <c r="C42" i="172"/>
  <c r="E42" i="172" s="1"/>
  <c r="C36" i="172"/>
  <c r="E36" i="172" s="1"/>
  <c r="C35" i="172"/>
  <c r="E35" i="172" s="1"/>
  <c r="C34" i="172"/>
  <c r="E34" i="172" s="1"/>
  <c r="C33" i="172"/>
  <c r="E33" i="172" s="1"/>
  <c r="C32" i="172"/>
  <c r="E32" i="172" s="1"/>
  <c r="C31" i="172"/>
  <c r="E31" i="172" s="1"/>
  <c r="C30" i="172"/>
  <c r="E30" i="172" s="1"/>
  <c r="C29" i="172"/>
  <c r="E29" i="172" s="1"/>
  <c r="C28" i="172"/>
  <c r="E28" i="172" s="1"/>
  <c r="C27" i="172"/>
  <c r="E27" i="172" s="1"/>
  <c r="C26" i="172"/>
  <c r="E26" i="172" s="1"/>
  <c r="C25" i="172"/>
  <c r="E25" i="172" s="1"/>
  <c r="C24" i="172"/>
  <c r="E24" i="172" s="1"/>
  <c r="C23" i="172"/>
  <c r="E23" i="172" s="1"/>
  <c r="C20" i="172"/>
  <c r="E20" i="172" s="1"/>
  <c r="C19" i="172"/>
  <c r="E19" i="172" s="1"/>
  <c r="C18" i="172"/>
  <c r="E18" i="172" s="1"/>
  <c r="C61" i="171"/>
  <c r="C60" i="171"/>
  <c r="E60" i="171" s="1"/>
  <c r="C59" i="171"/>
  <c r="E59" i="171" s="1"/>
  <c r="C58" i="171"/>
  <c r="E58" i="171" s="1"/>
  <c r="C57" i="171"/>
  <c r="C56" i="171"/>
  <c r="C28" i="170"/>
  <c r="C27" i="170"/>
  <c r="C32" i="171"/>
  <c r="C38" i="171"/>
  <c r="E38" i="171" s="1"/>
  <c r="C37" i="171"/>
  <c r="E37" i="171" s="1"/>
  <c r="C36" i="171"/>
  <c r="E36" i="171" s="1"/>
  <c r="C35" i="171"/>
  <c r="E35" i="171" s="1"/>
  <c r="C34" i="171"/>
  <c r="E34" i="171" s="1"/>
  <c r="E61" i="171"/>
  <c r="E57" i="171"/>
  <c r="E56" i="171"/>
  <c r="E61" i="172" l="1"/>
  <c r="E58" i="172"/>
  <c r="E62" i="172"/>
  <c r="E59" i="172"/>
  <c r="E63" i="172"/>
  <c r="E60" i="172"/>
  <c r="E54" i="172"/>
  <c r="E62" i="171"/>
  <c r="E64" i="172" l="1"/>
  <c r="E50" i="171" l="1"/>
  <c r="C49" i="171"/>
  <c r="E49" i="171" s="1"/>
  <c r="C48" i="171"/>
  <c r="E48" i="171" s="1"/>
  <c r="C47" i="171"/>
  <c r="E47" i="171" s="1"/>
  <c r="C46" i="171"/>
  <c r="E46" i="171" s="1"/>
  <c r="C45" i="171"/>
  <c r="E45" i="171" s="1"/>
  <c r="C44" i="171"/>
  <c r="E44" i="171" s="1"/>
  <c r="C43" i="171"/>
  <c r="E43" i="171" s="1"/>
  <c r="C42" i="171"/>
  <c r="E42" i="171" s="1"/>
  <c r="C41" i="171"/>
  <c r="E41" i="171" s="1"/>
  <c r="C40" i="171"/>
  <c r="E40" i="171" s="1"/>
  <c r="C39" i="171"/>
  <c r="E39" i="171" s="1"/>
  <c r="C33" i="171"/>
  <c r="E33" i="171" s="1"/>
  <c r="E32" i="171"/>
  <c r="C31" i="171"/>
  <c r="E31" i="171" s="1"/>
  <c r="C30" i="171"/>
  <c r="E30" i="171" s="1"/>
  <c r="C29" i="171"/>
  <c r="E29" i="171" s="1"/>
  <c r="C28" i="171"/>
  <c r="E28" i="171" s="1"/>
  <c r="C27" i="171"/>
  <c r="E27" i="171" s="1"/>
  <c r="C26" i="171"/>
  <c r="E26" i="171" s="1"/>
  <c r="C25" i="171"/>
  <c r="E25" i="171" s="1"/>
  <c r="C24" i="171"/>
  <c r="E24" i="171" s="1"/>
  <c r="E23" i="171"/>
  <c r="E22" i="171"/>
  <c r="C21" i="171"/>
  <c r="E21" i="171" s="1"/>
  <c r="C20" i="171"/>
  <c r="E20" i="171" s="1"/>
  <c r="C19" i="171"/>
  <c r="E19" i="171" s="1"/>
  <c r="C56" i="170"/>
  <c r="C55" i="170"/>
  <c r="C54" i="170"/>
  <c r="C53" i="170"/>
  <c r="C52" i="170"/>
  <c r="C51" i="170"/>
  <c r="E46" i="170"/>
  <c r="E45" i="170"/>
  <c r="E44" i="170"/>
  <c r="E43" i="170"/>
  <c r="E42" i="170"/>
  <c r="E41" i="170"/>
  <c r="E40" i="170"/>
  <c r="E39" i="170"/>
  <c r="E38" i="170"/>
  <c r="E37" i="170"/>
  <c r="E36" i="170"/>
  <c r="E35" i="170"/>
  <c r="E34" i="170"/>
  <c r="E33" i="170"/>
  <c r="E32" i="170"/>
  <c r="E31" i="170"/>
  <c r="E30" i="170"/>
  <c r="E29" i="170"/>
  <c r="E28" i="170"/>
  <c r="E27" i="170"/>
  <c r="E26" i="170"/>
  <c r="E25" i="170"/>
  <c r="E24" i="170"/>
  <c r="E22" i="170"/>
  <c r="E21" i="170"/>
  <c r="E20" i="170"/>
  <c r="E19" i="170"/>
  <c r="E18" i="170"/>
  <c r="E17" i="170"/>
  <c r="C36" i="170"/>
  <c r="C35" i="170"/>
  <c r="C34" i="170"/>
  <c r="C33" i="170"/>
  <c r="C32" i="170"/>
  <c r="C25" i="170"/>
  <c r="C26" i="170"/>
  <c r="E51" i="171" l="1"/>
  <c r="C46" i="170" l="1"/>
  <c r="E56" i="170"/>
  <c r="E55" i="170"/>
  <c r="E54" i="170"/>
  <c r="E53" i="170"/>
  <c r="E52" i="170"/>
  <c r="E51" i="170"/>
  <c r="C45" i="170"/>
  <c r="C44" i="170"/>
  <c r="C43" i="170"/>
  <c r="C42" i="170"/>
  <c r="C41" i="170"/>
  <c r="C40" i="170"/>
  <c r="C39" i="170"/>
  <c r="C38" i="170"/>
  <c r="C37" i="170"/>
  <c r="C31" i="170"/>
  <c r="C30" i="170"/>
  <c r="C29" i="170"/>
  <c r="C24" i="170"/>
  <c r="C23" i="170"/>
  <c r="E23" i="170" s="1"/>
  <c r="C22" i="170"/>
  <c r="C21" i="170"/>
  <c r="C20" i="170"/>
  <c r="C19" i="170"/>
  <c r="C18" i="170"/>
  <c r="C17" i="170"/>
  <c r="E57" i="170" l="1"/>
  <c r="E47" i="170"/>
  <c r="C55" i="169" l="1"/>
  <c r="C54" i="169"/>
  <c r="C53" i="169"/>
  <c r="C52" i="169"/>
  <c r="C51" i="169"/>
  <c r="C50" i="169"/>
  <c r="C45" i="169"/>
  <c r="E45" i="169" s="1"/>
  <c r="C36" i="169"/>
  <c r="C35" i="169"/>
  <c r="C34" i="169"/>
  <c r="C33" i="169"/>
  <c r="C32" i="169"/>
  <c r="C30" i="169"/>
  <c r="C16" i="169"/>
  <c r="E16" i="169" s="1"/>
  <c r="C33" i="168"/>
  <c r="C32" i="168"/>
  <c r="C31" i="168"/>
  <c r="C44" i="169"/>
  <c r="E44" i="169" s="1"/>
  <c r="C43" i="169"/>
  <c r="E43" i="169" s="1"/>
  <c r="C42" i="169"/>
  <c r="E42" i="169" s="1"/>
  <c r="C41" i="169"/>
  <c r="E41" i="169" s="1"/>
  <c r="C40" i="169"/>
  <c r="E40" i="169" s="1"/>
  <c r="C39" i="169"/>
  <c r="E39" i="169" s="1"/>
  <c r="C38" i="169"/>
  <c r="E38" i="169" s="1"/>
  <c r="C37" i="169"/>
  <c r="E37" i="169" s="1"/>
  <c r="C31" i="169"/>
  <c r="E31" i="169" s="1"/>
  <c r="E30" i="169"/>
  <c r="C29" i="169"/>
  <c r="E29" i="169" s="1"/>
  <c r="C28" i="169"/>
  <c r="E28" i="169" s="1"/>
  <c r="C27" i="169"/>
  <c r="E27" i="169" s="1"/>
  <c r="C26" i="169"/>
  <c r="E26" i="169" s="1"/>
  <c r="C25" i="169"/>
  <c r="E25" i="169" s="1"/>
  <c r="C24" i="169"/>
  <c r="E55" i="169" s="1"/>
  <c r="C23" i="169"/>
  <c r="E23" i="169" s="1"/>
  <c r="C22" i="169"/>
  <c r="E22" i="169" s="1"/>
  <c r="C21" i="169"/>
  <c r="E21" i="169" s="1"/>
  <c r="C20" i="169"/>
  <c r="E20" i="169" s="1"/>
  <c r="E19" i="169"/>
  <c r="E18" i="169"/>
  <c r="C17" i="169"/>
  <c r="E17" i="169" s="1"/>
  <c r="C49" i="168"/>
  <c r="E50" i="169" l="1"/>
  <c r="E52" i="169"/>
  <c r="E53" i="169"/>
  <c r="E54" i="169"/>
  <c r="E24" i="169"/>
  <c r="E46" i="169" s="1"/>
  <c r="E51" i="169"/>
  <c r="E56" i="169" l="1"/>
  <c r="C48" i="168" l="1"/>
  <c r="E48" i="168" s="1"/>
  <c r="E49" i="168"/>
  <c r="C50" i="168"/>
  <c r="E50" i="168" s="1"/>
  <c r="C51" i="168"/>
  <c r="E51" i="168" s="1"/>
  <c r="C52" i="168"/>
  <c r="E52" i="168" s="1"/>
  <c r="C53" i="168"/>
  <c r="E53" i="168" s="1"/>
  <c r="C42" i="168"/>
  <c r="C35" i="168"/>
  <c r="C37" i="167"/>
  <c r="C34" i="168"/>
  <c r="C43" i="168"/>
  <c r="E43" i="168" s="1"/>
  <c r="E42" i="168"/>
  <c r="C41" i="168"/>
  <c r="E41" i="168" s="1"/>
  <c r="C40" i="168"/>
  <c r="E40" i="168" s="1"/>
  <c r="C39" i="168"/>
  <c r="E39" i="168" s="1"/>
  <c r="C38" i="168"/>
  <c r="E38" i="168" s="1"/>
  <c r="C37" i="168"/>
  <c r="E37" i="168" s="1"/>
  <c r="C36" i="168"/>
  <c r="E36" i="168" s="1"/>
  <c r="C30" i="168"/>
  <c r="E30" i="168" s="1"/>
  <c r="C29" i="168"/>
  <c r="E29" i="168" s="1"/>
  <c r="C28" i="168"/>
  <c r="E28" i="168" s="1"/>
  <c r="C27" i="168"/>
  <c r="E27" i="168" s="1"/>
  <c r="C26" i="168"/>
  <c r="E26" i="168" s="1"/>
  <c r="C25" i="168"/>
  <c r="E25" i="168" s="1"/>
  <c r="C24" i="168"/>
  <c r="E24" i="168" s="1"/>
  <c r="C23" i="168"/>
  <c r="E23" i="168" s="1"/>
  <c r="C22" i="168"/>
  <c r="E22" i="168" s="1"/>
  <c r="C21" i="168"/>
  <c r="E21" i="168" s="1"/>
  <c r="E20" i="168"/>
  <c r="E19" i="168"/>
  <c r="C18" i="168"/>
  <c r="E18" i="168" s="1"/>
  <c r="C17" i="168"/>
  <c r="E17" i="168" s="1"/>
  <c r="C44" i="167"/>
  <c r="C43" i="167"/>
  <c r="E54" i="168" l="1"/>
  <c r="E44" i="168"/>
  <c r="C48" i="167" l="1"/>
  <c r="E48" i="167" s="1"/>
  <c r="C47" i="167"/>
  <c r="C46" i="167"/>
  <c r="C45" i="167"/>
  <c r="E44" i="167"/>
  <c r="C39" i="167"/>
  <c r="C38" i="167"/>
  <c r="C36" i="167"/>
  <c r="C35" i="167"/>
  <c r="C34" i="167"/>
  <c r="C33" i="167"/>
  <c r="C32" i="167"/>
  <c r="C31" i="167"/>
  <c r="C30" i="167"/>
  <c r="C29" i="167"/>
  <c r="C28" i="167"/>
  <c r="C27" i="167"/>
  <c r="C26" i="167"/>
  <c r="C25" i="167"/>
  <c r="C24" i="167"/>
  <c r="C23" i="167"/>
  <c r="C22" i="167"/>
  <c r="C21" i="167"/>
  <c r="C20" i="167"/>
  <c r="C19" i="167"/>
  <c r="C18" i="167"/>
  <c r="C17" i="167"/>
  <c r="C16" i="167"/>
  <c r="C15" i="167"/>
  <c r="E47" i="167"/>
  <c r="E46" i="167"/>
  <c r="E45" i="167"/>
  <c r="E43" i="167"/>
  <c r="E40" i="167"/>
  <c r="C42" i="166"/>
  <c r="C46" i="166"/>
  <c r="C45" i="166"/>
  <c r="C44" i="166"/>
  <c r="C43" i="166"/>
  <c r="C41" i="166"/>
  <c r="C36" i="166"/>
  <c r="C35" i="166"/>
  <c r="C34" i="166"/>
  <c r="C33" i="166"/>
  <c r="C32" i="166"/>
  <c r="C31" i="166"/>
  <c r="C30" i="166"/>
  <c r="C29" i="166"/>
  <c r="C28" i="166"/>
  <c r="C27" i="166"/>
  <c r="C26" i="166"/>
  <c r="C25" i="166"/>
  <c r="C24" i="166"/>
  <c r="C23" i="166"/>
  <c r="C22" i="166"/>
  <c r="C21" i="166"/>
  <c r="C20" i="166"/>
  <c r="C19" i="166"/>
  <c r="C18" i="166"/>
  <c r="C16" i="166"/>
  <c r="C15" i="166"/>
  <c r="C14" i="166"/>
  <c r="C42" i="125"/>
  <c r="C37" i="125"/>
  <c r="E49" i="167" l="1"/>
  <c r="E34" i="166"/>
  <c r="E46" i="166"/>
  <c r="E45" i="166"/>
  <c r="E44" i="166"/>
  <c r="E43" i="166"/>
  <c r="E42" i="166"/>
  <c r="E41" i="166"/>
  <c r="E36" i="166"/>
  <c r="E35" i="166"/>
  <c r="E33" i="166"/>
  <c r="E32" i="166"/>
  <c r="E31" i="166"/>
  <c r="E30" i="166"/>
  <c r="E29" i="166"/>
  <c r="E28" i="166"/>
  <c r="E27" i="166"/>
  <c r="E26" i="166"/>
  <c r="E25" i="166"/>
  <c r="E24" i="166"/>
  <c r="E23" i="166"/>
  <c r="E22" i="166"/>
  <c r="E21" i="166"/>
  <c r="E20" i="166"/>
  <c r="E19" i="166"/>
  <c r="E18" i="166"/>
  <c r="E17" i="166"/>
  <c r="E16" i="166"/>
  <c r="E15" i="166"/>
  <c r="E14" i="166"/>
  <c r="D35" i="165"/>
  <c r="D33" i="165"/>
  <c r="D32" i="165"/>
  <c r="D30" i="165"/>
  <c r="D27" i="165"/>
  <c r="D25" i="165"/>
  <c r="D24" i="165"/>
  <c r="B27" i="165"/>
  <c r="B26" i="165"/>
  <c r="D26" i="165" s="1"/>
  <c r="B25" i="165"/>
  <c r="B24" i="165"/>
  <c r="B23" i="165"/>
  <c r="D23" i="165" s="1"/>
  <c r="E47" i="166" l="1"/>
  <c r="E37" i="166"/>
  <c r="C45" i="146"/>
  <c r="C44" i="146"/>
  <c r="C32" i="128" l="1"/>
  <c r="C33" i="128"/>
  <c r="C31" i="128"/>
  <c r="B30" i="120" l="1"/>
  <c r="B28" i="118"/>
  <c r="B27" i="118"/>
  <c r="B72" i="48" l="1"/>
  <c r="B71" i="48"/>
  <c r="B46" i="48"/>
  <c r="B43" i="48"/>
  <c r="B52" i="48"/>
  <c r="B51" i="48"/>
  <c r="B50" i="48"/>
  <c r="B47" i="48"/>
  <c r="B33" i="48"/>
  <c r="D68" i="48"/>
  <c r="D69" i="48"/>
  <c r="D71" i="48"/>
  <c r="D72" i="48"/>
  <c r="D73" i="48"/>
  <c r="D74" i="48"/>
  <c r="B70" i="48"/>
  <c r="D70" i="48" s="1"/>
  <c r="B69" i="48"/>
  <c r="B68" i="48"/>
  <c r="B67" i="48"/>
  <c r="D67" i="48" s="1"/>
  <c r="B66" i="48"/>
  <c r="B65" i="48"/>
  <c r="B63" i="48"/>
  <c r="B62" i="48"/>
  <c r="D62" i="48" s="1"/>
  <c r="B61" i="48"/>
  <c r="D61" i="48" s="1"/>
  <c r="B60" i="48"/>
  <c r="D60" i="48" s="1"/>
  <c r="B59" i="48"/>
  <c r="B58" i="48"/>
  <c r="B57" i="48"/>
  <c r="B56" i="48"/>
  <c r="D56" i="48" s="1"/>
  <c r="B55" i="48"/>
  <c r="D55" i="48" s="1"/>
  <c r="B54" i="48"/>
  <c r="D57" i="48"/>
  <c r="B40" i="48"/>
  <c r="B39" i="48"/>
  <c r="B36" i="48"/>
  <c r="B34" i="48"/>
  <c r="B22" i="113" l="1"/>
  <c r="B75" i="48"/>
  <c r="D75" i="48" s="1"/>
  <c r="B74" i="48"/>
  <c r="B73" i="48"/>
  <c r="D66" i="48"/>
  <c r="D65" i="48"/>
  <c r="B64" i="48"/>
  <c r="D64" i="48" s="1"/>
  <c r="D63" i="48"/>
  <c r="D59" i="48"/>
  <c r="D58" i="48"/>
  <c r="D54" i="48"/>
  <c r="B53" i="48"/>
  <c r="D53" i="48" s="1"/>
  <c r="D52" i="48"/>
  <c r="D51" i="48"/>
  <c r="D50" i="48"/>
  <c r="B49" i="48"/>
  <c r="D49" i="48" s="1"/>
  <c r="B48" i="48"/>
  <c r="D48" i="48" s="1"/>
  <c r="D47" i="48"/>
  <c r="D46" i="48"/>
  <c r="B44" i="48"/>
  <c r="D44" i="48" s="1"/>
  <c r="D43" i="48"/>
  <c r="B42" i="48"/>
  <c r="D42" i="48" s="1"/>
  <c r="B41" i="48"/>
  <c r="D41" i="48" s="1"/>
  <c r="D40" i="48"/>
  <c r="D39" i="48"/>
  <c r="B38" i="48"/>
  <c r="D38" i="48" s="1"/>
  <c r="B37" i="48"/>
  <c r="D37" i="48" s="1"/>
  <c r="D36" i="48"/>
  <c r="D34" i="48"/>
  <c r="D33" i="48"/>
  <c r="B45" i="48" l="1"/>
  <c r="D45" i="48" s="1"/>
  <c r="B35" i="48"/>
  <c r="D35" i="48" s="1"/>
  <c r="D76" i="48" s="1"/>
  <c r="B36" i="165"/>
  <c r="D36" i="165" s="1"/>
  <c r="B34" i="165"/>
  <c r="D34" i="165" s="1"/>
  <c r="B31" i="165"/>
  <c r="D31" i="165" s="1"/>
  <c r="B22" i="165"/>
  <c r="D22" i="165" s="1"/>
  <c r="B20" i="165"/>
  <c r="D20" i="165" s="1"/>
  <c r="B21" i="165"/>
  <c r="D21" i="165" s="1"/>
  <c r="B19" i="165"/>
  <c r="D19" i="165" s="1"/>
  <c r="B17" i="165"/>
  <c r="D17" i="165" s="1"/>
  <c r="B16" i="165"/>
  <c r="D16" i="165" s="1"/>
  <c r="B13" i="165"/>
  <c r="D13" i="165" s="1"/>
  <c r="B12" i="165"/>
  <c r="D12" i="165" s="1"/>
  <c r="B11" i="165"/>
  <c r="D11" i="165" s="1"/>
  <c r="B18" i="165"/>
  <c r="D18" i="165" s="1"/>
  <c r="B10" i="165"/>
  <c r="D10" i="165" s="1"/>
  <c r="B28" i="165"/>
  <c r="D28" i="165" s="1"/>
  <c r="B15" i="165"/>
  <c r="D15" i="165" s="1"/>
  <c r="B14" i="165"/>
  <c r="D14" i="165" s="1"/>
  <c r="C40" i="129" l="1"/>
  <c r="C39" i="129"/>
  <c r="B19" i="164" l="1"/>
  <c r="B18" i="164"/>
  <c r="B17" i="164"/>
  <c r="B16" i="164"/>
  <c r="B15" i="164"/>
  <c r="B14" i="164"/>
  <c r="B13" i="164"/>
  <c r="B12" i="164"/>
  <c r="B10" i="164"/>
  <c r="B9" i="164"/>
  <c r="B20" i="164" l="1"/>
  <c r="D20" i="164" s="1"/>
  <c r="D19" i="164"/>
  <c r="D18" i="164"/>
  <c r="D16" i="164"/>
  <c r="D15" i="164"/>
  <c r="D14" i="164"/>
  <c r="D13" i="164"/>
  <c r="B11" i="164"/>
  <c r="D11" i="164" s="1"/>
  <c r="D17" i="164"/>
  <c r="D9" i="164"/>
  <c r="D10" i="164" l="1"/>
  <c r="D12" i="164"/>
  <c r="B26" i="113"/>
  <c r="D26" i="113" s="1"/>
  <c r="D25" i="113"/>
  <c r="B25" i="113"/>
  <c r="D24" i="113"/>
  <c r="B24" i="113"/>
  <c r="B23" i="113"/>
  <c r="D23" i="113" s="1"/>
  <c r="D22" i="113"/>
  <c r="D21" i="113"/>
  <c r="B21" i="113"/>
  <c r="B20" i="113"/>
  <c r="D20" i="113" s="1"/>
  <c r="D19" i="113"/>
  <c r="B19" i="113"/>
  <c r="D18" i="113"/>
  <c r="B18" i="113"/>
  <c r="B17" i="113"/>
  <c r="D17" i="113" s="1"/>
  <c r="D16" i="113"/>
  <c r="B16" i="113"/>
  <c r="D15" i="113"/>
  <c r="B15" i="113"/>
  <c r="B14" i="113"/>
  <c r="D14" i="113" s="1"/>
  <c r="D13" i="113"/>
  <c r="B13" i="113"/>
  <c r="D12" i="113"/>
  <c r="B12" i="113"/>
  <c r="D25" i="109"/>
  <c r="B25" i="109"/>
  <c r="B24" i="109"/>
  <c r="D24" i="109" s="1"/>
  <c r="B23" i="109"/>
  <c r="D23" i="109" s="1"/>
  <c r="D22" i="109"/>
  <c r="B22" i="109"/>
  <c r="B21" i="109"/>
  <c r="D21" i="109" s="1"/>
  <c r="B20" i="109"/>
  <c r="D20" i="109" s="1"/>
  <c r="D19" i="109"/>
  <c r="B19" i="109"/>
  <c r="B18" i="109"/>
  <c r="D18" i="109" s="1"/>
  <c r="B17" i="109"/>
  <c r="D17" i="109" s="1"/>
  <c r="D16" i="109"/>
  <c r="B16" i="109"/>
  <c r="B15" i="109"/>
  <c r="D15" i="109" s="1"/>
  <c r="B14" i="109"/>
  <c r="D14" i="109" s="1"/>
  <c r="D13" i="109"/>
  <c r="B13" i="109"/>
  <c r="B12" i="109"/>
  <c r="D12" i="109" s="1"/>
  <c r="B11" i="109"/>
  <c r="D11" i="109" s="1"/>
  <c r="B24" i="103"/>
  <c r="D24" i="103" s="1"/>
  <c r="B23" i="103"/>
  <c r="D23" i="103" s="1"/>
  <c r="B22" i="103"/>
  <c r="D22" i="103" s="1"/>
  <c r="B21" i="103"/>
  <c r="D21" i="103" s="1"/>
  <c r="B20" i="103"/>
  <c r="D20" i="103" s="1"/>
  <c r="B19" i="103"/>
  <c r="D19" i="103" s="1"/>
  <c r="B18" i="103"/>
  <c r="D18" i="103" s="1"/>
  <c r="B17" i="103"/>
  <c r="D17" i="103" s="1"/>
  <c r="B16" i="103"/>
  <c r="D16" i="103" s="1"/>
  <c r="B14" i="103"/>
  <c r="B15" i="103" s="1"/>
  <c r="D15" i="103" s="1"/>
  <c r="B12" i="103"/>
  <c r="B13" i="103" s="1"/>
  <c r="D13" i="103" s="1"/>
  <c r="B11" i="103"/>
  <c r="D11" i="103" s="1"/>
  <c r="D21" i="164" l="1"/>
  <c r="D27" i="113"/>
  <c r="D26" i="109"/>
  <c r="D14" i="103"/>
  <c r="D12" i="103"/>
  <c r="D25" i="103" s="1"/>
  <c r="D49" i="56"/>
  <c r="B49" i="56"/>
  <c r="B48" i="56"/>
  <c r="D48" i="56" s="1"/>
  <c r="B47" i="56"/>
  <c r="D47" i="56" s="1"/>
  <c r="D46" i="56"/>
  <c r="B46" i="56"/>
  <c r="B44" i="56"/>
  <c r="D44" i="56" s="1"/>
  <c r="D43" i="56"/>
  <c r="B43" i="56"/>
  <c r="B42" i="56"/>
  <c r="D42" i="56" s="1"/>
  <c r="B41" i="56"/>
  <c r="B45" i="56" s="1"/>
  <c r="D45" i="56" s="1"/>
  <c r="D40" i="56"/>
  <c r="B40" i="56"/>
  <c r="B39" i="56"/>
  <c r="D39" i="56" s="1"/>
  <c r="B38" i="56"/>
  <c r="D38" i="56" s="1"/>
  <c r="D37" i="56"/>
  <c r="B37" i="56"/>
  <c r="B36" i="56"/>
  <c r="D36" i="56" s="1"/>
  <c r="B35" i="56"/>
  <c r="D35" i="56" s="1"/>
  <c r="D34" i="56"/>
  <c r="B34" i="56"/>
  <c r="B33" i="56"/>
  <c r="D33" i="56" s="1"/>
  <c r="B32" i="56"/>
  <c r="D32" i="56" s="1"/>
  <c r="D31" i="56"/>
  <c r="B31" i="56"/>
  <c r="B30" i="56"/>
  <c r="D30" i="56" s="1"/>
  <c r="B29" i="56"/>
  <c r="D29" i="56" s="1"/>
  <c r="D28" i="56"/>
  <c r="B28" i="56"/>
  <c r="B27" i="56"/>
  <c r="D27" i="56" s="1"/>
  <c r="B26" i="56"/>
  <c r="D26" i="56" s="1"/>
  <c r="D25" i="56"/>
  <c r="B25" i="56"/>
  <c r="B24" i="56"/>
  <c r="D24" i="56" s="1"/>
  <c r="B23" i="56"/>
  <c r="D23" i="56" s="1"/>
  <c r="D22" i="56"/>
  <c r="B22" i="56"/>
  <c r="B21" i="56"/>
  <c r="B19" i="56" s="1"/>
  <c r="D19" i="56" s="1"/>
  <c r="B20" i="56"/>
  <c r="D20" i="56" s="1"/>
  <c r="B18" i="56"/>
  <c r="D18" i="56" s="1"/>
  <c r="D41" i="56" l="1"/>
  <c r="D21" i="56"/>
  <c r="D50" i="56" s="1"/>
  <c r="C45" i="163" l="1"/>
  <c r="C44" i="163"/>
  <c r="E44" i="163" s="1"/>
  <c r="C43" i="163"/>
  <c r="E43" i="163" s="1"/>
  <c r="C42" i="163"/>
  <c r="C41" i="163"/>
  <c r="E41" i="163" s="1"/>
  <c r="C40" i="163"/>
  <c r="E40" i="163" s="1"/>
  <c r="C39" i="163"/>
  <c r="C38" i="163"/>
  <c r="E38" i="163" s="1"/>
  <c r="C37" i="163"/>
  <c r="C36" i="163"/>
  <c r="E36" i="163" s="1"/>
  <c r="C35" i="163"/>
  <c r="E35" i="163" s="1"/>
  <c r="C34" i="163"/>
  <c r="C33" i="163"/>
  <c r="E33" i="163" s="1"/>
  <c r="C32" i="163"/>
  <c r="E32" i="163" s="1"/>
  <c r="C31" i="163"/>
  <c r="E31" i="163" s="1"/>
  <c r="C30" i="163"/>
  <c r="C29" i="163"/>
  <c r="E29" i="163" s="1"/>
  <c r="C24" i="163"/>
  <c r="E24" i="163" s="1"/>
  <c r="C28" i="163"/>
  <c r="E28" i="163" s="1"/>
  <c r="C27" i="163"/>
  <c r="E27" i="163" s="1"/>
  <c r="C26" i="163"/>
  <c r="E26" i="163" s="1"/>
  <c r="C25" i="163"/>
  <c r="E25" i="163" s="1"/>
  <c r="C23" i="163"/>
  <c r="E23" i="163" s="1"/>
  <c r="C22" i="163"/>
  <c r="E22" i="163" s="1"/>
  <c r="C21" i="163"/>
  <c r="E21" i="163" s="1"/>
  <c r="I12" i="163"/>
  <c r="K12" i="163" s="1"/>
  <c r="I11" i="163"/>
  <c r="K11" i="163" s="1"/>
  <c r="I10" i="163"/>
  <c r="K10" i="163" s="1"/>
  <c r="I9" i="163"/>
  <c r="K9" i="163" s="1"/>
  <c r="I8" i="163"/>
  <c r="K8" i="163" s="1"/>
  <c r="I7" i="163"/>
  <c r="K7" i="163" s="1"/>
  <c r="I6" i="163"/>
  <c r="K6" i="163" s="1"/>
  <c r="I5" i="163"/>
  <c r="K5" i="163" s="1"/>
  <c r="I4" i="163"/>
  <c r="K4" i="163" s="1"/>
  <c r="I3" i="163"/>
  <c r="K3" i="163" s="1"/>
  <c r="E42" i="163"/>
  <c r="E39" i="163"/>
  <c r="E37" i="163"/>
  <c r="E34" i="163"/>
  <c r="E45" i="163"/>
  <c r="E30" i="163"/>
  <c r="B41" i="162"/>
  <c r="D41" i="162" s="1"/>
  <c r="B40" i="162"/>
  <c r="D40" i="162" s="1"/>
  <c r="B39" i="162"/>
  <c r="D39" i="162" s="1"/>
  <c r="B38" i="162"/>
  <c r="D38" i="162" s="1"/>
  <c r="B37" i="162"/>
  <c r="D37" i="162" s="1"/>
  <c r="B34" i="162"/>
  <c r="D34" i="162" s="1"/>
  <c r="B33" i="162"/>
  <c r="D33" i="162" s="1"/>
  <c r="E46" i="163" l="1"/>
  <c r="B35" i="162" l="1"/>
  <c r="D35" i="162" s="1"/>
  <c r="B32" i="162"/>
  <c r="D32" i="162" s="1"/>
  <c r="B14" i="162"/>
  <c r="D14" i="162" s="1"/>
  <c r="B30" i="162"/>
  <c r="D30" i="162" s="1"/>
  <c r="B24" i="162"/>
  <c r="D24" i="162" s="1"/>
  <c r="B23" i="162"/>
  <c r="D23" i="162" s="1"/>
  <c r="B21" i="162"/>
  <c r="D21" i="162" s="1"/>
  <c r="B19" i="162"/>
  <c r="D19" i="162" s="1"/>
  <c r="B18" i="162"/>
  <c r="D18" i="162" s="1"/>
  <c r="B17" i="162"/>
  <c r="D17" i="162" s="1"/>
  <c r="B16" i="162"/>
  <c r="D16" i="162" s="1"/>
  <c r="B15" i="162"/>
  <c r="D15" i="162" s="1"/>
  <c r="B27" i="162"/>
  <c r="D27" i="162" s="1"/>
  <c r="B13" i="162"/>
  <c r="D13" i="162" s="1"/>
  <c r="B29" i="162"/>
  <c r="D29" i="162" s="1"/>
  <c r="B28" i="162"/>
  <c r="D28" i="162" s="1"/>
  <c r="B26" i="162"/>
  <c r="D26" i="162" s="1"/>
  <c r="B25" i="162"/>
  <c r="D25" i="162" s="1"/>
  <c r="B20" i="162"/>
  <c r="C30" i="146"/>
  <c r="C29" i="146"/>
  <c r="C28" i="146"/>
  <c r="C27" i="146"/>
  <c r="C33" i="134"/>
  <c r="C32" i="134"/>
  <c r="C31" i="134"/>
  <c r="C30" i="134"/>
  <c r="C23" i="130"/>
  <c r="C22" i="130"/>
  <c r="E22" i="130" s="1"/>
  <c r="C21" i="130"/>
  <c r="C20" i="130"/>
  <c r="E23" i="130"/>
  <c r="C35" i="129"/>
  <c r="E35" i="129" s="1"/>
  <c r="C36" i="129"/>
  <c r="E36" i="129" s="1"/>
  <c r="C34" i="129"/>
  <c r="C33" i="129"/>
  <c r="B44" i="161"/>
  <c r="D44" i="161" s="1"/>
  <c r="B43" i="161"/>
  <c r="D43" i="161" s="1"/>
  <c r="B31" i="162" l="1"/>
  <c r="D31" i="162" s="1"/>
  <c r="D20" i="162"/>
  <c r="B22" i="162"/>
  <c r="D22" i="162" s="1"/>
  <c r="B42" i="161" l="1"/>
  <c r="D42" i="161" s="1"/>
  <c r="B31" i="161"/>
  <c r="D31" i="161" s="1"/>
  <c r="B29" i="161"/>
  <c r="D29" i="161" s="1"/>
  <c r="B50" i="161"/>
  <c r="B49" i="161"/>
  <c r="B48" i="161"/>
  <c r="B41" i="161"/>
  <c r="D41" i="161" s="1"/>
  <c r="B40" i="161"/>
  <c r="D40" i="161" s="1"/>
  <c r="B39" i="161"/>
  <c r="D39" i="161" s="1"/>
  <c r="B38" i="161"/>
  <c r="D38" i="161" s="1"/>
  <c r="B37" i="161"/>
  <c r="D37" i="161" s="1"/>
  <c r="B36" i="161"/>
  <c r="D36" i="161" s="1"/>
  <c r="B35" i="161"/>
  <c r="D35" i="161" s="1"/>
  <c r="B34" i="161"/>
  <c r="D34" i="161" s="1"/>
  <c r="B33" i="161"/>
  <c r="D33" i="161" s="1"/>
  <c r="B32" i="161"/>
  <c r="D32" i="161" s="1"/>
  <c r="B30" i="161"/>
  <c r="D30" i="161" s="1"/>
  <c r="B27" i="161"/>
  <c r="D27" i="161" s="1"/>
  <c r="B26" i="161"/>
  <c r="D26" i="161" s="1"/>
  <c r="B23" i="161"/>
  <c r="D23" i="161" s="1"/>
  <c r="B22" i="161"/>
  <c r="D22" i="161" s="1"/>
  <c r="B21" i="161"/>
  <c r="D21" i="161" s="1"/>
  <c r="B20" i="161"/>
  <c r="D20" i="161" s="1"/>
  <c r="B19" i="161"/>
  <c r="D19" i="161" s="1"/>
  <c r="B16" i="161"/>
  <c r="B28" i="161" s="1"/>
  <c r="D28" i="161" s="1"/>
  <c r="B15" i="161"/>
  <c r="B52" i="161" s="1"/>
  <c r="B24" i="161" l="1"/>
  <c r="D24" i="161" s="1"/>
  <c r="B45" i="161"/>
  <c r="D45" i="161" s="1"/>
  <c r="B51" i="161"/>
  <c r="B25" i="161"/>
  <c r="D25" i="161" s="1"/>
  <c r="C38" i="129"/>
  <c r="C37" i="129"/>
  <c r="D46" i="161" l="1"/>
  <c r="C83" i="125"/>
  <c r="E38" i="143" l="1"/>
  <c r="C38" i="143"/>
  <c r="C70" i="134"/>
  <c r="E70" i="134" s="1"/>
  <c r="E31" i="145" l="1"/>
  <c r="C31" i="145"/>
  <c r="C32" i="145"/>
  <c r="E36" i="144"/>
  <c r="C36" i="144"/>
  <c r="C37" i="144"/>
  <c r="C39" i="128" l="1"/>
  <c r="C43" i="125"/>
  <c r="C40" i="125"/>
  <c r="C39" i="125"/>
  <c r="C38" i="125"/>
  <c r="C31" i="131"/>
  <c r="C53" i="131"/>
  <c r="C34" i="131"/>
  <c r="C33" i="131"/>
  <c r="C32" i="131"/>
  <c r="C40" i="133" l="1"/>
  <c r="E40" i="133"/>
  <c r="C41" i="133"/>
  <c r="C48" i="132"/>
  <c r="C50" i="132"/>
  <c r="C57" i="127" l="1"/>
  <c r="C25" i="127"/>
  <c r="C27" i="126" l="1"/>
  <c r="E27" i="126" s="1"/>
  <c r="C26" i="126"/>
  <c r="C35" i="125"/>
  <c r="E35" i="125" s="1"/>
  <c r="C36" i="125"/>
  <c r="C26" i="127" l="1"/>
  <c r="D36" i="160" l="1"/>
  <c r="C26" i="160"/>
  <c r="D26" i="160" s="1"/>
  <c r="C25" i="160"/>
  <c r="D25" i="160" s="1"/>
  <c r="C24" i="160"/>
  <c r="D24" i="160" s="1"/>
  <c r="C23" i="160"/>
  <c r="D23" i="160" s="1"/>
  <c r="C13" i="160"/>
  <c r="D13" i="160" s="1"/>
  <c r="C27" i="160"/>
  <c r="D27" i="160" s="1"/>
  <c r="C36" i="160"/>
  <c r="C31" i="160"/>
  <c r="D31" i="160" s="1"/>
  <c r="C22" i="160"/>
  <c r="D22" i="160" s="1"/>
  <c r="C21" i="160"/>
  <c r="D21" i="160" s="1"/>
  <c r="C20" i="160"/>
  <c r="D20" i="160" s="1"/>
  <c r="C19" i="160"/>
  <c r="D19" i="160" s="1"/>
  <c r="C18" i="160"/>
  <c r="D18" i="160" s="1"/>
  <c r="C17" i="160"/>
  <c r="D17" i="160" s="1"/>
  <c r="C16" i="160"/>
  <c r="D16" i="160" s="1"/>
  <c r="C15" i="160"/>
  <c r="D15" i="160" s="1"/>
  <c r="C14" i="160"/>
  <c r="D14" i="160" s="1"/>
  <c r="C12" i="160"/>
  <c r="D12" i="160" s="1"/>
  <c r="D36" i="159"/>
  <c r="C25" i="159"/>
  <c r="C24" i="159"/>
  <c r="C23" i="159"/>
  <c r="C22" i="159"/>
  <c r="C13" i="159"/>
  <c r="D13" i="159" s="1"/>
  <c r="C36" i="159"/>
  <c r="C31" i="159"/>
  <c r="D31" i="159" s="1"/>
  <c r="C30" i="159"/>
  <c r="D30" i="159" s="1"/>
  <c r="C29" i="159"/>
  <c r="D29" i="159" s="1"/>
  <c r="D25" i="159"/>
  <c r="D24" i="159"/>
  <c r="D23" i="159"/>
  <c r="D22" i="159"/>
  <c r="C21" i="159"/>
  <c r="D21" i="159" s="1"/>
  <c r="C20" i="159"/>
  <c r="D20" i="159" s="1"/>
  <c r="C19" i="159"/>
  <c r="D19" i="159" s="1"/>
  <c r="C18" i="159"/>
  <c r="D18" i="159" s="1"/>
  <c r="C17" i="159"/>
  <c r="D17" i="159" s="1"/>
  <c r="C16" i="159"/>
  <c r="D16" i="159" s="1"/>
  <c r="C15" i="159"/>
  <c r="D15" i="159" s="1"/>
  <c r="C14" i="159"/>
  <c r="D14" i="159" s="1"/>
  <c r="C12" i="159"/>
  <c r="D12" i="159" s="1"/>
  <c r="D37" i="158"/>
  <c r="D28" i="158"/>
  <c r="D27" i="158"/>
  <c r="D26" i="158"/>
  <c r="D25" i="158"/>
  <c r="C28" i="158"/>
  <c r="C27" i="158"/>
  <c r="C26" i="158"/>
  <c r="C25" i="158"/>
  <c r="C13" i="158"/>
  <c r="D13" i="158" s="1"/>
  <c r="C37" i="158"/>
  <c r="C32" i="158"/>
  <c r="D32" i="158" s="1"/>
  <c r="C24" i="158"/>
  <c r="D24" i="158" s="1"/>
  <c r="C23" i="158"/>
  <c r="D23" i="158" s="1"/>
  <c r="C22" i="158"/>
  <c r="D22" i="158" s="1"/>
  <c r="C21" i="158"/>
  <c r="D21" i="158" s="1"/>
  <c r="C20" i="158"/>
  <c r="D20" i="158" s="1"/>
  <c r="C19" i="158"/>
  <c r="D19" i="158" s="1"/>
  <c r="C18" i="158"/>
  <c r="D18" i="158" s="1"/>
  <c r="C17" i="158"/>
  <c r="D17" i="158" s="1"/>
  <c r="C16" i="158"/>
  <c r="D16" i="158" s="1"/>
  <c r="C15" i="158"/>
  <c r="D15" i="158" s="1"/>
  <c r="C14" i="158"/>
  <c r="D14" i="158" s="1"/>
  <c r="C12" i="158"/>
  <c r="D12" i="158" s="1"/>
  <c r="D39" i="157"/>
  <c r="D34" i="157"/>
  <c r="D38" i="157"/>
  <c r="D25" i="157"/>
  <c r="D24" i="157"/>
  <c r="C27" i="157"/>
  <c r="C26" i="157"/>
  <c r="C25" i="157"/>
  <c r="C24" i="157"/>
  <c r="C14" i="157"/>
  <c r="C13" i="157" l="1"/>
  <c r="D13" i="157" s="1"/>
  <c r="C38" i="157"/>
  <c r="C33" i="157"/>
  <c r="D33" i="157" s="1"/>
  <c r="C32" i="157"/>
  <c r="D32" i="157" s="1"/>
  <c r="C31" i="157"/>
  <c r="D31" i="157" s="1"/>
  <c r="D27" i="157"/>
  <c r="D26" i="157"/>
  <c r="C23" i="157"/>
  <c r="D23" i="157" s="1"/>
  <c r="C22" i="157"/>
  <c r="D22" i="157" s="1"/>
  <c r="C21" i="157"/>
  <c r="D21" i="157" s="1"/>
  <c r="C20" i="157"/>
  <c r="D20" i="157" s="1"/>
  <c r="C19" i="157"/>
  <c r="D19" i="157" s="1"/>
  <c r="C18" i="157"/>
  <c r="D18" i="157" s="1"/>
  <c r="C17" i="157"/>
  <c r="D17" i="157" s="1"/>
  <c r="C16" i="157"/>
  <c r="D16" i="157" s="1"/>
  <c r="C15" i="157"/>
  <c r="D15" i="157" s="1"/>
  <c r="D14" i="157"/>
  <c r="C12" i="157"/>
  <c r="D12" i="157" s="1"/>
  <c r="D28" i="157" s="1"/>
  <c r="B25" i="118" l="1"/>
  <c r="B24" i="118"/>
  <c r="B23" i="118"/>
  <c r="D23" i="118" s="1"/>
  <c r="B22" i="118"/>
  <c r="B19" i="118"/>
  <c r="B18" i="118"/>
  <c r="B16" i="118"/>
  <c r="B15" i="118"/>
  <c r="C62" i="150" l="1"/>
  <c r="C61" i="150"/>
  <c r="E61" i="150" s="1"/>
  <c r="E62" i="150"/>
  <c r="C42" i="149"/>
  <c r="E42" i="149" s="1"/>
  <c r="C41" i="149"/>
  <c r="E41" i="149" s="1"/>
  <c r="C60" i="148"/>
  <c r="E60" i="148" s="1"/>
  <c r="C59" i="148"/>
  <c r="E59" i="148" s="1"/>
  <c r="C55" i="146"/>
  <c r="E55" i="146" s="1"/>
  <c r="C54" i="146"/>
  <c r="E54" i="146" s="1"/>
  <c r="C54" i="145"/>
  <c r="C53" i="145"/>
  <c r="E53" i="145" s="1"/>
  <c r="C52" i="145"/>
  <c r="E52" i="145" s="1"/>
  <c r="E54" i="145"/>
  <c r="C57" i="144"/>
  <c r="E57" i="144" s="1"/>
  <c r="C56" i="144"/>
  <c r="C55" i="144"/>
  <c r="E55" i="144" s="1"/>
  <c r="E56" i="144"/>
  <c r="C67" i="143"/>
  <c r="C66" i="143"/>
  <c r="E66" i="143" s="1"/>
  <c r="E67" i="143"/>
  <c r="C68" i="143"/>
  <c r="E68" i="143"/>
  <c r="C72" i="134"/>
  <c r="E72" i="134" s="1"/>
  <c r="C71" i="134"/>
  <c r="E71" i="134" s="1"/>
  <c r="C64" i="133"/>
  <c r="E64" i="133" s="1"/>
  <c r="C63" i="133"/>
  <c r="C62" i="133"/>
  <c r="E63" i="133"/>
  <c r="E62" i="133"/>
  <c r="C68" i="132"/>
  <c r="C67" i="132"/>
  <c r="E67" i="132" s="1"/>
  <c r="C66" i="132"/>
  <c r="E68" i="132"/>
  <c r="E66" i="132"/>
  <c r="C82" i="131"/>
  <c r="C81" i="131"/>
  <c r="E82" i="131"/>
  <c r="E81" i="131"/>
  <c r="C45" i="130"/>
  <c r="E45" i="130" s="1"/>
  <c r="C44" i="130"/>
  <c r="E44" i="130" s="1"/>
  <c r="C80" i="129"/>
  <c r="C79" i="129"/>
  <c r="E80" i="129"/>
  <c r="E79" i="129"/>
  <c r="C83" i="128"/>
  <c r="E83" i="128" s="1"/>
  <c r="C82" i="128"/>
  <c r="E82" i="128" s="1"/>
  <c r="C81" i="128"/>
  <c r="E81" i="128" s="1"/>
  <c r="C56" i="127"/>
  <c r="E56" i="127" s="1"/>
  <c r="C55" i="127"/>
  <c r="E55" i="127" s="1"/>
  <c r="C54" i="127"/>
  <c r="E54" i="127" s="1"/>
  <c r="C56" i="126"/>
  <c r="E56" i="126" s="1"/>
  <c r="C55" i="126"/>
  <c r="E55" i="126" s="1"/>
  <c r="C54" i="126"/>
  <c r="E54" i="126" s="1"/>
  <c r="C92" i="125" l="1"/>
  <c r="E92" i="125" s="1"/>
  <c r="C91" i="125"/>
  <c r="E91" i="125" s="1"/>
  <c r="C90" i="125"/>
  <c r="E90" i="125" s="1"/>
  <c r="C43" i="128" l="1"/>
  <c r="C38" i="128"/>
  <c r="C56" i="125" l="1"/>
  <c r="E43" i="125"/>
  <c r="E38" i="125"/>
  <c r="C30" i="149" l="1"/>
  <c r="C39" i="146"/>
  <c r="E39" i="146" s="1"/>
  <c r="C37" i="146"/>
  <c r="C40" i="146"/>
  <c r="E40" i="146" s="1"/>
  <c r="K19" i="150" l="1"/>
  <c r="K18" i="150"/>
  <c r="K16" i="150"/>
  <c r="K6" i="150"/>
  <c r="K5" i="150"/>
  <c r="K4" i="150"/>
  <c r="I19" i="150"/>
  <c r="I18" i="150"/>
  <c r="I14" i="150"/>
  <c r="K14" i="150" s="1"/>
  <c r="I13" i="150"/>
  <c r="K13" i="150" s="1"/>
  <c r="I15" i="150"/>
  <c r="K15" i="150" s="1"/>
  <c r="I17" i="150"/>
  <c r="K17" i="150" s="1"/>
  <c r="I16" i="150"/>
  <c r="I12" i="150"/>
  <c r="K12" i="150" s="1"/>
  <c r="I11" i="150"/>
  <c r="K11" i="150" s="1"/>
  <c r="I10" i="150"/>
  <c r="K10" i="150" s="1"/>
  <c r="I8" i="150"/>
  <c r="K8" i="150" s="1"/>
  <c r="I7" i="150"/>
  <c r="K7" i="150" s="1"/>
  <c r="I6" i="150"/>
  <c r="I5" i="150"/>
  <c r="I4" i="150"/>
  <c r="I9" i="150"/>
  <c r="K9" i="150" s="1"/>
  <c r="I3" i="150"/>
  <c r="K3" i="150" s="1"/>
  <c r="C57" i="150"/>
  <c r="E57" i="150" s="1"/>
  <c r="C56" i="150"/>
  <c r="E56" i="150" s="1"/>
  <c r="C55" i="150"/>
  <c r="C54" i="150"/>
  <c r="C53" i="150"/>
  <c r="C52" i="150"/>
  <c r="C51" i="150"/>
  <c r="C50" i="150"/>
  <c r="C49" i="150"/>
  <c r="C48" i="150"/>
  <c r="E48" i="150" s="1"/>
  <c r="C47" i="150"/>
  <c r="C46" i="150"/>
  <c r="C45" i="150"/>
  <c r="C44" i="150"/>
  <c r="C43" i="150"/>
  <c r="C42" i="150"/>
  <c r="C41" i="150"/>
  <c r="C40" i="150"/>
  <c r="C39" i="150"/>
  <c r="C38" i="150"/>
  <c r="C37" i="150"/>
  <c r="C36" i="150"/>
  <c r="E36" i="150"/>
  <c r="C35" i="150"/>
  <c r="C34" i="150"/>
  <c r="C33" i="150"/>
  <c r="C32" i="150"/>
  <c r="C31" i="150"/>
  <c r="C30" i="150"/>
  <c r="C29" i="150"/>
  <c r="C28" i="150"/>
  <c r="C27" i="150"/>
  <c r="C26" i="150"/>
  <c r="C25" i="150"/>
  <c r="C24" i="150"/>
  <c r="I15" i="149"/>
  <c r="K15" i="149" s="1"/>
  <c r="I14" i="149"/>
  <c r="K14" i="149" s="1"/>
  <c r="I13" i="149"/>
  <c r="K13" i="149" s="1"/>
  <c r="I11" i="149"/>
  <c r="K11" i="149" s="1"/>
  <c r="I12" i="149"/>
  <c r="K12" i="149" s="1"/>
  <c r="I10" i="149"/>
  <c r="K10" i="149" s="1"/>
  <c r="I4" i="149"/>
  <c r="K4" i="149" s="1"/>
  <c r="I8" i="149"/>
  <c r="K8" i="149" s="1"/>
  <c r="I7" i="149"/>
  <c r="K7" i="149" s="1"/>
  <c r="I6" i="149"/>
  <c r="K6" i="149" s="1"/>
  <c r="I5" i="149"/>
  <c r="K5" i="149" s="1"/>
  <c r="I9" i="149"/>
  <c r="K9" i="149" s="1"/>
  <c r="I3" i="149"/>
  <c r="K3" i="149" s="1"/>
  <c r="I14" i="148"/>
  <c r="I13" i="148"/>
  <c r="K13" i="148" s="1"/>
  <c r="I19" i="148"/>
  <c r="K19" i="148" s="1"/>
  <c r="I18" i="148"/>
  <c r="K18" i="148" s="1"/>
  <c r="I17" i="148"/>
  <c r="K17" i="148" s="1"/>
  <c r="I16" i="148"/>
  <c r="K16" i="148" s="1"/>
  <c r="I15" i="148"/>
  <c r="K15" i="148" s="1"/>
  <c r="K14" i="148"/>
  <c r="I12" i="148"/>
  <c r="K12" i="148" s="1"/>
  <c r="I11" i="148"/>
  <c r="K11" i="148" s="1"/>
  <c r="I10" i="148"/>
  <c r="K10" i="148" s="1"/>
  <c r="I9" i="148"/>
  <c r="K9" i="148" s="1"/>
  <c r="I7" i="148"/>
  <c r="K7" i="148" s="1"/>
  <c r="I6" i="148"/>
  <c r="K6" i="148" s="1"/>
  <c r="I5" i="148"/>
  <c r="K5" i="148" s="1"/>
  <c r="I4" i="148"/>
  <c r="K4" i="148" s="1"/>
  <c r="I3" i="148"/>
  <c r="K3" i="148" s="1"/>
  <c r="I8" i="148"/>
  <c r="K8" i="148" s="1"/>
  <c r="C55" i="148"/>
  <c r="E55" i="148" s="1"/>
  <c r="C54" i="148"/>
  <c r="E54" i="148" s="1"/>
  <c r="C53" i="148"/>
  <c r="C52" i="148"/>
  <c r="C51" i="148"/>
  <c r="C50" i="148"/>
  <c r="E50" i="148"/>
  <c r="C47" i="148"/>
  <c r="C46" i="148"/>
  <c r="C45" i="148"/>
  <c r="C44" i="148"/>
  <c r="C43" i="148" l="1"/>
  <c r="C42" i="148"/>
  <c r="C41" i="148"/>
  <c r="C40" i="148"/>
  <c r="C39" i="148"/>
  <c r="C38" i="148"/>
  <c r="C36" i="148"/>
  <c r="C35" i="148"/>
  <c r="C37" i="148"/>
  <c r="E37" i="148" s="1"/>
  <c r="C34" i="148"/>
  <c r="C33" i="148"/>
  <c r="C32" i="148"/>
  <c r="C31" i="148"/>
  <c r="C30" i="148"/>
  <c r="C29" i="148"/>
  <c r="C28" i="148"/>
  <c r="C27" i="148"/>
  <c r="I15" i="146"/>
  <c r="K15" i="146" s="1"/>
  <c r="I14" i="146"/>
  <c r="K14" i="146" s="1"/>
  <c r="I13" i="146"/>
  <c r="K13" i="146" s="1"/>
  <c r="I12" i="146"/>
  <c r="K12" i="146" s="1"/>
  <c r="I11" i="146"/>
  <c r="K11" i="146" s="1"/>
  <c r="I10" i="146"/>
  <c r="K10" i="146" s="1"/>
  <c r="I9" i="146"/>
  <c r="K9" i="146" s="1"/>
  <c r="I8" i="146"/>
  <c r="K8" i="146" s="1"/>
  <c r="I7" i="146"/>
  <c r="K7" i="146" s="1"/>
  <c r="I6" i="146"/>
  <c r="K6" i="146" s="1"/>
  <c r="I5" i="146"/>
  <c r="K5" i="146" s="1"/>
  <c r="I4" i="146"/>
  <c r="K4" i="146" s="1"/>
  <c r="I3" i="146"/>
  <c r="K3" i="146" s="1"/>
  <c r="C45" i="144"/>
  <c r="C42" i="146"/>
  <c r="I3" i="145"/>
  <c r="K3" i="145" s="1"/>
  <c r="I17" i="145"/>
  <c r="K17" i="145" s="1"/>
  <c r="I16" i="145"/>
  <c r="K16" i="145" s="1"/>
  <c r="I15" i="145"/>
  <c r="K15" i="145" s="1"/>
  <c r="I14" i="145"/>
  <c r="K14" i="145" s="1"/>
  <c r="I13" i="145"/>
  <c r="K13" i="145" s="1"/>
  <c r="I12" i="145"/>
  <c r="K12" i="145" s="1"/>
  <c r="I11" i="145"/>
  <c r="K11" i="145" s="1"/>
  <c r="I10" i="145"/>
  <c r="K10" i="145" s="1"/>
  <c r="I9" i="145"/>
  <c r="K9" i="145" s="1"/>
  <c r="I8" i="145"/>
  <c r="K8" i="145" s="1"/>
  <c r="I7" i="145"/>
  <c r="K7" i="145" s="1"/>
  <c r="I6" i="145"/>
  <c r="K6" i="145" s="1"/>
  <c r="I5" i="145"/>
  <c r="K5" i="145" s="1"/>
  <c r="I4" i="145"/>
  <c r="K4" i="145" s="1"/>
  <c r="C47" i="145"/>
  <c r="E47" i="145" s="1"/>
  <c r="C46" i="145"/>
  <c r="E46" i="145" s="1"/>
  <c r="C45" i="145"/>
  <c r="E45" i="145" s="1"/>
  <c r="C44" i="145"/>
  <c r="E44" i="145" s="1"/>
  <c r="E32" i="145"/>
  <c r="C30" i="145"/>
  <c r="C29" i="145"/>
  <c r="E29" i="145" s="1"/>
  <c r="C28" i="145"/>
  <c r="C26" i="145"/>
  <c r="E26" i="145" s="1"/>
  <c r="C25" i="145"/>
  <c r="I17" i="144" l="1"/>
  <c r="K17" i="144" s="1"/>
  <c r="I16" i="144"/>
  <c r="K16" i="144" s="1"/>
  <c r="I15" i="144"/>
  <c r="K15" i="144" s="1"/>
  <c r="I14" i="144"/>
  <c r="K14" i="144" s="1"/>
  <c r="I6" i="144"/>
  <c r="K6" i="144" s="1"/>
  <c r="I5" i="144"/>
  <c r="K5" i="144" s="1"/>
  <c r="I4" i="144"/>
  <c r="K4" i="144" s="1"/>
  <c r="I3" i="144"/>
  <c r="K3" i="144" s="1"/>
  <c r="I13" i="144"/>
  <c r="K13" i="144" s="1"/>
  <c r="I12" i="144"/>
  <c r="K12" i="144" s="1"/>
  <c r="I11" i="144"/>
  <c r="K11" i="144" s="1"/>
  <c r="I10" i="144"/>
  <c r="K10" i="144" s="1"/>
  <c r="I9" i="144"/>
  <c r="K9" i="144" s="1"/>
  <c r="I8" i="144"/>
  <c r="K8" i="144" s="1"/>
  <c r="I7" i="144"/>
  <c r="K7" i="144" s="1"/>
  <c r="C50" i="144"/>
  <c r="E50" i="144" s="1"/>
  <c r="C49" i="144"/>
  <c r="E49" i="144" s="1"/>
  <c r="C48" i="144"/>
  <c r="E48" i="144" s="1"/>
  <c r="C47" i="144"/>
  <c r="E47" i="144" s="1"/>
  <c r="C46" i="144"/>
  <c r="C47" i="132"/>
  <c r="E47" i="132" s="1"/>
  <c r="C43" i="144"/>
  <c r="E43" i="144" s="1"/>
  <c r="C31" i="144"/>
  <c r="E31" i="144" s="1"/>
  <c r="C30" i="144"/>
  <c r="E37" i="144"/>
  <c r="C35" i="144"/>
  <c r="C34" i="144"/>
  <c r="E34" i="144" s="1"/>
  <c r="C33" i="144"/>
  <c r="C22" i="144"/>
  <c r="E22" i="144" s="1"/>
  <c r="I9" i="143" l="1"/>
  <c r="K9" i="143" s="1"/>
  <c r="I8" i="143"/>
  <c r="K8" i="143" s="1"/>
  <c r="I7" i="143"/>
  <c r="K7" i="143" s="1"/>
  <c r="I6" i="143"/>
  <c r="I5" i="143"/>
  <c r="K5" i="143" s="1"/>
  <c r="I4" i="143"/>
  <c r="K4" i="143" s="1"/>
  <c r="K6" i="143"/>
  <c r="I19" i="143"/>
  <c r="K19" i="143" s="1"/>
  <c r="I18" i="143"/>
  <c r="K18" i="143" s="1"/>
  <c r="I14" i="143"/>
  <c r="K14" i="143" s="1"/>
  <c r="I13" i="143"/>
  <c r="K13" i="143" s="1"/>
  <c r="I17" i="143"/>
  <c r="K17" i="143" s="1"/>
  <c r="I16" i="143"/>
  <c r="K16" i="143" s="1"/>
  <c r="I15" i="143"/>
  <c r="K15" i="143" s="1"/>
  <c r="I12" i="143"/>
  <c r="K12" i="143" s="1"/>
  <c r="I11" i="143"/>
  <c r="K11" i="143" s="1"/>
  <c r="I10" i="143"/>
  <c r="K10" i="143" s="1"/>
  <c r="I19" i="134"/>
  <c r="I18" i="134"/>
  <c r="I14" i="134"/>
  <c r="I13" i="134"/>
  <c r="I17" i="134"/>
  <c r="I16" i="134"/>
  <c r="I15" i="134"/>
  <c r="I12" i="134"/>
  <c r="I11" i="134"/>
  <c r="I10" i="134"/>
  <c r="I3" i="143"/>
  <c r="K3" i="143" s="1"/>
  <c r="C62" i="143"/>
  <c r="E62" i="143" s="1"/>
  <c r="C61" i="143"/>
  <c r="E61" i="143"/>
  <c r="C60" i="143"/>
  <c r="C53" i="143"/>
  <c r="E53" i="143" s="1"/>
  <c r="E69" i="143" s="1"/>
  <c r="C52" i="143"/>
  <c r="C51" i="143"/>
  <c r="C49" i="143"/>
  <c r="C48" i="143"/>
  <c r="C47" i="143"/>
  <c r="C46" i="143"/>
  <c r="C35" i="143"/>
  <c r="C30" i="143"/>
  <c r="C29" i="143"/>
  <c r="C28" i="143"/>
  <c r="C27" i="143"/>
  <c r="C25" i="143"/>
  <c r="C24" i="143"/>
  <c r="C23" i="143"/>
  <c r="C62" i="134"/>
  <c r="C61" i="134"/>
  <c r="C46" i="134"/>
  <c r="C37" i="134"/>
  <c r="C36" i="134"/>
  <c r="C35" i="134"/>
  <c r="C34" i="134"/>
  <c r="C34" i="143" l="1"/>
  <c r="K19" i="134"/>
  <c r="K18" i="134"/>
  <c r="K14" i="134"/>
  <c r="K13" i="134"/>
  <c r="K17" i="134"/>
  <c r="K16" i="134"/>
  <c r="K15" i="134"/>
  <c r="K12" i="134"/>
  <c r="K11" i="134"/>
  <c r="K10" i="134"/>
  <c r="I9" i="134"/>
  <c r="K9" i="134" s="1"/>
  <c r="I8" i="134"/>
  <c r="K8" i="134" s="1"/>
  <c r="I7" i="134"/>
  <c r="K7" i="134" s="1"/>
  <c r="I6" i="134"/>
  <c r="K6" i="134" s="1"/>
  <c r="I5" i="134"/>
  <c r="K5" i="134" s="1"/>
  <c r="I4" i="134"/>
  <c r="K4" i="134" s="1"/>
  <c r="I3" i="134"/>
  <c r="K3" i="134" s="1"/>
  <c r="C66" i="134"/>
  <c r="E66" i="134" s="1"/>
  <c r="C65" i="134"/>
  <c r="E65" i="134" s="1"/>
  <c r="C63" i="134"/>
  <c r="E63" i="134" s="1"/>
  <c r="C52" i="134"/>
  <c r="C44" i="134"/>
  <c r="C43" i="134"/>
  <c r="C42" i="134"/>
  <c r="C41" i="134"/>
  <c r="C40" i="134"/>
  <c r="C39" i="134"/>
  <c r="C29" i="134"/>
  <c r="C28" i="134"/>
  <c r="C27" i="134"/>
  <c r="C60" i="133" l="1"/>
  <c r="E60" i="133" s="1"/>
  <c r="C59" i="133"/>
  <c r="E59" i="133" s="1"/>
  <c r="C58" i="133"/>
  <c r="E58" i="133" s="1"/>
  <c r="C57" i="133"/>
  <c r="E57" i="133" s="1"/>
  <c r="C56" i="133"/>
  <c r="E56" i="133" s="1"/>
  <c r="C65" i="133"/>
  <c r="C61" i="133"/>
  <c r="C55" i="133"/>
  <c r="C54" i="133"/>
  <c r="C53" i="133"/>
  <c r="C52" i="133"/>
  <c r="C51" i="133"/>
  <c r="C50" i="133"/>
  <c r="C49" i="133"/>
  <c r="C48" i="133"/>
  <c r="C47" i="133"/>
  <c r="C46" i="133"/>
  <c r="C45" i="133"/>
  <c r="C44" i="133"/>
  <c r="C43" i="133"/>
  <c r="C42" i="133"/>
  <c r="E41" i="133"/>
  <c r="C39" i="133"/>
  <c r="C37" i="133"/>
  <c r="C36" i="133"/>
  <c r="E36" i="133" s="1"/>
  <c r="C35" i="133"/>
  <c r="C34" i="133"/>
  <c r="C33" i="133"/>
  <c r="C32" i="133"/>
  <c r="C31" i="133"/>
  <c r="C30" i="133"/>
  <c r="C29" i="133"/>
  <c r="C28" i="133"/>
  <c r="C27" i="133"/>
  <c r="C65" i="132"/>
  <c r="E65" i="132" s="1"/>
  <c r="C26" i="133"/>
  <c r="C25" i="133"/>
  <c r="C24" i="133"/>
  <c r="C23" i="133"/>
  <c r="C22" i="133"/>
  <c r="I17" i="133"/>
  <c r="K17" i="133" s="1"/>
  <c r="I16" i="133"/>
  <c r="K16" i="133" s="1"/>
  <c r="I15" i="133"/>
  <c r="K15" i="133" s="1"/>
  <c r="I14" i="133"/>
  <c r="K14" i="133" s="1"/>
  <c r="I13" i="133"/>
  <c r="K13" i="133" s="1"/>
  <c r="I12" i="133"/>
  <c r="K12" i="133" s="1"/>
  <c r="I11" i="133"/>
  <c r="K11" i="133" s="1"/>
  <c r="I10" i="133"/>
  <c r="K10" i="133" s="1"/>
  <c r="I9" i="133"/>
  <c r="K9" i="133" s="1"/>
  <c r="I8" i="133"/>
  <c r="K8" i="133" s="1"/>
  <c r="I7" i="133"/>
  <c r="K7" i="133" s="1"/>
  <c r="I6" i="133"/>
  <c r="K6" i="133" s="1"/>
  <c r="I5" i="133"/>
  <c r="K5" i="133" s="1"/>
  <c r="I4" i="133"/>
  <c r="K4" i="133" s="1"/>
  <c r="I3" i="133"/>
  <c r="K3" i="133" s="1"/>
  <c r="E50" i="132" l="1"/>
  <c r="I8" i="132"/>
  <c r="K8" i="132" s="1"/>
  <c r="I7" i="132"/>
  <c r="K7" i="132" s="1"/>
  <c r="I11" i="132"/>
  <c r="K11" i="132" s="1"/>
  <c r="I10" i="132"/>
  <c r="K10" i="132" s="1"/>
  <c r="I9" i="132"/>
  <c r="K9" i="132" s="1"/>
  <c r="C24" i="132"/>
  <c r="I17" i="132"/>
  <c r="K17" i="132" s="1"/>
  <c r="I16" i="132"/>
  <c r="K16" i="132" s="1"/>
  <c r="I15" i="132"/>
  <c r="K15" i="132" s="1"/>
  <c r="I14" i="132"/>
  <c r="K14" i="132" s="1"/>
  <c r="I13" i="132"/>
  <c r="K13" i="132" s="1"/>
  <c r="I12" i="132"/>
  <c r="K12" i="132" s="1"/>
  <c r="I6" i="132"/>
  <c r="K6" i="132" s="1"/>
  <c r="I5" i="132"/>
  <c r="K5" i="132" s="1"/>
  <c r="I4" i="132"/>
  <c r="K4" i="132" s="1"/>
  <c r="I3" i="132"/>
  <c r="K3" i="132" s="1"/>
  <c r="C64" i="132"/>
  <c r="E64" i="132" s="1"/>
  <c r="C63" i="132"/>
  <c r="E63" i="132" s="1"/>
  <c r="C62" i="132"/>
  <c r="E62" i="132" s="1"/>
  <c r="C61" i="132"/>
  <c r="E61" i="132" s="1"/>
  <c r="C56" i="132"/>
  <c r="C55" i="132"/>
  <c r="C54" i="132"/>
  <c r="C53" i="132"/>
  <c r="C52" i="132"/>
  <c r="C51" i="132"/>
  <c r="C46" i="132"/>
  <c r="E46" i="132" s="1"/>
  <c r="C44" i="132"/>
  <c r="C43" i="132"/>
  <c r="C42" i="132"/>
  <c r="C41" i="132"/>
  <c r="C40" i="132"/>
  <c r="C36" i="132"/>
  <c r="C38" i="132"/>
  <c r="C37" i="132"/>
  <c r="C35" i="132"/>
  <c r="C34" i="132"/>
  <c r="C33" i="132"/>
  <c r="C32" i="132"/>
  <c r="C31" i="132"/>
  <c r="C30" i="132"/>
  <c r="C29" i="132"/>
  <c r="C28" i="132"/>
  <c r="C27" i="132"/>
  <c r="C26" i="132"/>
  <c r="C25" i="132"/>
  <c r="I19" i="131"/>
  <c r="K19" i="131" s="1"/>
  <c r="I18" i="131"/>
  <c r="K18" i="131" s="1"/>
  <c r="I17" i="131"/>
  <c r="K17" i="131" s="1"/>
  <c r="I16" i="131"/>
  <c r="K16" i="131" s="1"/>
  <c r="I15" i="131"/>
  <c r="K15" i="131" s="1"/>
  <c r="I14" i="131"/>
  <c r="K14" i="131" s="1"/>
  <c r="I13" i="131"/>
  <c r="K13" i="131" s="1"/>
  <c r="I12" i="131"/>
  <c r="K12" i="131" s="1"/>
  <c r="I11" i="131"/>
  <c r="K11" i="131" s="1"/>
  <c r="I10" i="131"/>
  <c r="K10" i="131" s="1"/>
  <c r="I9" i="131"/>
  <c r="K9" i="131" s="1"/>
  <c r="I8" i="131"/>
  <c r="K8" i="131" s="1"/>
  <c r="I7" i="131"/>
  <c r="K7" i="131" s="1"/>
  <c r="I6" i="131"/>
  <c r="K6" i="131" s="1"/>
  <c r="I5" i="131"/>
  <c r="K5" i="131" s="1"/>
  <c r="I4" i="131"/>
  <c r="K4" i="131" s="1"/>
  <c r="I3" i="131"/>
  <c r="K3" i="131" s="1"/>
  <c r="C83" i="131"/>
  <c r="C80" i="131"/>
  <c r="C79" i="131"/>
  <c r="C78" i="131"/>
  <c r="C77" i="131"/>
  <c r="C75" i="131"/>
  <c r="E75" i="131" s="1"/>
  <c r="C74" i="131"/>
  <c r="E74" i="131" s="1"/>
  <c r="C70" i="131"/>
  <c r="C69" i="131"/>
  <c r="C68" i="131"/>
  <c r="C67" i="131"/>
  <c r="C66" i="131"/>
  <c r="C65" i="131"/>
  <c r="C64" i="131"/>
  <c r="C63" i="131"/>
  <c r="C62" i="131"/>
  <c r="C61" i="131"/>
  <c r="C60" i="131"/>
  <c r="C59" i="131"/>
  <c r="C58" i="131"/>
  <c r="C57" i="131"/>
  <c r="C56" i="131"/>
  <c r="C55" i="131"/>
  <c r="C54" i="131"/>
  <c r="E53" i="131"/>
  <c r="C50" i="131"/>
  <c r="C49" i="131"/>
  <c r="C48" i="131"/>
  <c r="C47" i="131"/>
  <c r="C46" i="131"/>
  <c r="C45" i="131"/>
  <c r="C44" i="131"/>
  <c r="C43" i="131"/>
  <c r="C41" i="131"/>
  <c r="E41" i="131" s="1"/>
  <c r="C42" i="131"/>
  <c r="C38" i="131"/>
  <c r="C37" i="131"/>
  <c r="C36" i="131"/>
  <c r="C35" i="131"/>
  <c r="C30" i="131"/>
  <c r="C29" i="131"/>
  <c r="C28" i="131"/>
  <c r="C27" i="131"/>
  <c r="C26" i="131"/>
  <c r="I15" i="130"/>
  <c r="K15" i="130" s="1"/>
  <c r="I14" i="130"/>
  <c r="K14" i="130" s="1"/>
  <c r="I13" i="130"/>
  <c r="K13" i="130" s="1"/>
  <c r="I12" i="130"/>
  <c r="K12" i="130" s="1"/>
  <c r="I11" i="130"/>
  <c r="K11" i="130" s="1"/>
  <c r="I10" i="130"/>
  <c r="K10" i="130" s="1"/>
  <c r="I9" i="130"/>
  <c r="K9" i="130" s="1"/>
  <c r="I8" i="130"/>
  <c r="K8" i="130" s="1"/>
  <c r="I7" i="130"/>
  <c r="K7" i="130" s="1"/>
  <c r="I6" i="130"/>
  <c r="K6" i="130" s="1"/>
  <c r="I5" i="130"/>
  <c r="K5" i="130" s="1"/>
  <c r="I4" i="130"/>
  <c r="K4" i="130" s="1"/>
  <c r="I3" i="130"/>
  <c r="K3" i="130" s="1"/>
  <c r="I19" i="129" l="1"/>
  <c r="K19" i="129" s="1"/>
  <c r="I18" i="129"/>
  <c r="K18" i="129" s="1"/>
  <c r="I17" i="129"/>
  <c r="K17" i="129" s="1"/>
  <c r="I16" i="129"/>
  <c r="K16" i="129" s="1"/>
  <c r="I15" i="129"/>
  <c r="K15" i="129" s="1"/>
  <c r="I14" i="129"/>
  <c r="K14" i="129" s="1"/>
  <c r="I13" i="129"/>
  <c r="K13" i="129" s="1"/>
  <c r="I12" i="129"/>
  <c r="K12" i="129" s="1"/>
  <c r="I11" i="129"/>
  <c r="K11" i="129" s="1"/>
  <c r="I10" i="129"/>
  <c r="K10" i="129" s="1"/>
  <c r="I9" i="129"/>
  <c r="K9" i="129" s="1"/>
  <c r="I8" i="129"/>
  <c r="K8" i="129" s="1"/>
  <c r="I7" i="129"/>
  <c r="K7" i="129" s="1"/>
  <c r="I6" i="129"/>
  <c r="K6" i="129" s="1"/>
  <c r="I5" i="129"/>
  <c r="K5" i="129" s="1"/>
  <c r="I4" i="129"/>
  <c r="K4" i="129" s="1"/>
  <c r="I3" i="129"/>
  <c r="K3" i="129" s="1"/>
  <c r="I21" i="128"/>
  <c r="K21" i="128" s="1"/>
  <c r="I20" i="128"/>
  <c r="K20" i="128" s="1"/>
  <c r="I19" i="128"/>
  <c r="K19" i="128" s="1"/>
  <c r="I18" i="128"/>
  <c r="K18" i="128" s="1"/>
  <c r="I17" i="128"/>
  <c r="K17" i="128" s="1"/>
  <c r="I16" i="128"/>
  <c r="K16" i="128" s="1"/>
  <c r="I15" i="128"/>
  <c r="K15" i="128" s="1"/>
  <c r="I14" i="128"/>
  <c r="K14" i="128" s="1"/>
  <c r="I13" i="128"/>
  <c r="K13" i="128" s="1"/>
  <c r="I12" i="128"/>
  <c r="K12" i="128" s="1"/>
  <c r="I11" i="128"/>
  <c r="K11" i="128" s="1"/>
  <c r="I10" i="128"/>
  <c r="K10" i="128" s="1"/>
  <c r="I9" i="128"/>
  <c r="K9" i="128" s="1"/>
  <c r="I8" i="128"/>
  <c r="K8" i="128" s="1"/>
  <c r="I7" i="128"/>
  <c r="K7" i="128" s="1"/>
  <c r="I6" i="128"/>
  <c r="K6" i="128" s="1"/>
  <c r="I5" i="128"/>
  <c r="K5" i="128" s="1"/>
  <c r="I4" i="128"/>
  <c r="K4" i="128" s="1"/>
  <c r="I3" i="128"/>
  <c r="K3" i="128" s="1"/>
  <c r="I21" i="127"/>
  <c r="K21" i="127" s="1"/>
  <c r="I20" i="127"/>
  <c r="K20" i="127" s="1"/>
  <c r="I19" i="127"/>
  <c r="K19" i="127" s="1"/>
  <c r="I18" i="127"/>
  <c r="K18" i="127" s="1"/>
  <c r="I17" i="127"/>
  <c r="K17" i="127" s="1"/>
  <c r="I16" i="127"/>
  <c r="K16" i="127" s="1"/>
  <c r="I15" i="127"/>
  <c r="K15" i="127" s="1"/>
  <c r="I14" i="127"/>
  <c r="K14" i="127" s="1"/>
  <c r="I13" i="127"/>
  <c r="K13" i="127" s="1"/>
  <c r="I12" i="127"/>
  <c r="K12" i="127" s="1"/>
  <c r="I11" i="127"/>
  <c r="K11" i="127" s="1"/>
  <c r="I10" i="127"/>
  <c r="K10" i="127" s="1"/>
  <c r="I9" i="127"/>
  <c r="K9" i="127" s="1"/>
  <c r="I8" i="127"/>
  <c r="K8" i="127" s="1"/>
  <c r="I7" i="127"/>
  <c r="K7" i="127" s="1"/>
  <c r="I6" i="127"/>
  <c r="K6" i="127" s="1"/>
  <c r="I5" i="127"/>
  <c r="K5" i="127" s="1"/>
  <c r="I4" i="127"/>
  <c r="K4" i="127" s="1"/>
  <c r="I3" i="127"/>
  <c r="K3" i="127" s="1"/>
  <c r="I17" i="126" l="1"/>
  <c r="K17" i="126" s="1"/>
  <c r="I16" i="126"/>
  <c r="K16" i="126" s="1"/>
  <c r="I15" i="126"/>
  <c r="K15" i="126" s="1"/>
  <c r="I14" i="126"/>
  <c r="K14" i="126" s="1"/>
  <c r="I13" i="126"/>
  <c r="K13" i="126" s="1"/>
  <c r="I12" i="126"/>
  <c r="K12" i="126" s="1"/>
  <c r="I11" i="126"/>
  <c r="K11" i="126" s="1"/>
  <c r="I10" i="126"/>
  <c r="K10" i="126" s="1"/>
  <c r="I9" i="126"/>
  <c r="K9" i="126" s="1"/>
  <c r="I8" i="126"/>
  <c r="K8" i="126" s="1"/>
  <c r="I7" i="126"/>
  <c r="K7" i="126" s="1"/>
  <c r="I6" i="126"/>
  <c r="K6" i="126" s="1"/>
  <c r="I5" i="126"/>
  <c r="K5" i="126" s="1"/>
  <c r="I4" i="126"/>
  <c r="K4" i="126" s="1"/>
  <c r="I3" i="126"/>
  <c r="K3" i="126" s="1"/>
  <c r="I18" i="126"/>
  <c r="K18" i="126" s="1"/>
  <c r="I19" i="126"/>
  <c r="K19" i="126" s="1"/>
  <c r="I21" i="126"/>
  <c r="K21" i="126" s="1"/>
  <c r="I20" i="126"/>
  <c r="K20" i="126" s="1"/>
  <c r="C29" i="126"/>
  <c r="C28" i="126"/>
  <c r="C69" i="125"/>
  <c r="C55" i="125"/>
  <c r="C54" i="125"/>
  <c r="C53" i="125"/>
  <c r="C52" i="125"/>
  <c r="C51" i="125"/>
  <c r="C50" i="125"/>
  <c r="C49" i="125"/>
  <c r="C48" i="125"/>
  <c r="C47" i="125"/>
  <c r="C46" i="125"/>
  <c r="C45" i="125"/>
  <c r="C44" i="125"/>
  <c r="C41" i="125"/>
  <c r="I21" i="125"/>
  <c r="K21" i="125" s="1"/>
  <c r="I20" i="125"/>
  <c r="K20" i="125" s="1"/>
  <c r="I19" i="125"/>
  <c r="K19" i="125" s="1"/>
  <c r="I18" i="125"/>
  <c r="K18" i="125" s="1"/>
  <c r="I17" i="125"/>
  <c r="K17" i="125" s="1"/>
  <c r="I16" i="125"/>
  <c r="K16" i="125" s="1"/>
  <c r="I15" i="125"/>
  <c r="K15" i="125" s="1"/>
  <c r="I14" i="125"/>
  <c r="K14" i="125" s="1"/>
  <c r="I13" i="125"/>
  <c r="K13" i="125" s="1"/>
  <c r="I12" i="125"/>
  <c r="K12" i="125" s="1"/>
  <c r="I11" i="125"/>
  <c r="K11" i="125" s="1"/>
  <c r="I10" i="125"/>
  <c r="K10" i="125" s="1"/>
  <c r="I9" i="125"/>
  <c r="K9" i="125" s="1"/>
  <c r="I8" i="125"/>
  <c r="K8" i="125" s="1"/>
  <c r="I6" i="125"/>
  <c r="K6" i="125" s="1"/>
  <c r="I5" i="125"/>
  <c r="K5" i="125" s="1"/>
  <c r="I4" i="125"/>
  <c r="K4" i="125" s="1"/>
  <c r="I3" i="125"/>
  <c r="K3" i="125" s="1"/>
  <c r="I7" i="125"/>
  <c r="K7" i="125" s="1"/>
  <c r="C78" i="129" l="1"/>
  <c r="E78" i="129" s="1"/>
  <c r="C77" i="129"/>
  <c r="E77" i="129" s="1"/>
  <c r="C73" i="129"/>
  <c r="C72" i="129"/>
  <c r="C71" i="129"/>
  <c r="C70" i="129"/>
  <c r="C69" i="129"/>
  <c r="C68" i="129"/>
  <c r="C67" i="129"/>
  <c r="C66" i="129"/>
  <c r="C65" i="129"/>
  <c r="C64" i="129"/>
  <c r="C63" i="129"/>
  <c r="C62" i="129"/>
  <c r="C61" i="129"/>
  <c r="C60" i="129"/>
  <c r="E60" i="129" s="1"/>
  <c r="C57" i="129"/>
  <c r="C56" i="129"/>
  <c r="C55" i="129"/>
  <c r="C54" i="129"/>
  <c r="C53" i="129"/>
  <c r="C52" i="129"/>
  <c r="C51" i="129"/>
  <c r="C50" i="129"/>
  <c r="C47" i="129"/>
  <c r="E47" i="129" s="1"/>
  <c r="C49" i="129"/>
  <c r="C48" i="129"/>
  <c r="C44" i="129"/>
  <c r="C43" i="129"/>
  <c r="C42" i="129"/>
  <c r="C41" i="129"/>
  <c r="C32" i="129"/>
  <c r="C31" i="129"/>
  <c r="C30" i="129"/>
  <c r="C29" i="129"/>
  <c r="C28" i="8" l="1"/>
  <c r="C33" i="8"/>
  <c r="C34" i="8"/>
  <c r="C32" i="8"/>
  <c r="C26" i="8"/>
  <c r="C23" i="8"/>
  <c r="C24" i="8"/>
  <c r="C29" i="156" l="1"/>
  <c r="C28" i="156"/>
  <c r="C27" i="156"/>
  <c r="E27" i="156" s="1"/>
  <c r="C26" i="156"/>
  <c r="E26" i="156" s="1"/>
  <c r="C25" i="156"/>
  <c r="C24" i="156"/>
  <c r="E24" i="156"/>
  <c r="C23" i="156"/>
  <c r="E23" i="156" s="1"/>
  <c r="C22" i="156"/>
  <c r="E22" i="156" s="1"/>
  <c r="C21" i="156"/>
  <c r="E21" i="156" s="1"/>
  <c r="C20" i="156"/>
  <c r="E20" i="156" s="1"/>
  <c r="C19" i="156"/>
  <c r="E19" i="156" s="1"/>
  <c r="C16" i="156"/>
  <c r="C18" i="156" s="1"/>
  <c r="C15" i="156"/>
  <c r="C14" i="156"/>
  <c r="C17" i="156" s="1"/>
  <c r="C31" i="156"/>
  <c r="E31" i="156" s="1"/>
  <c r="C30" i="156"/>
  <c r="E30" i="156" s="1"/>
  <c r="E29" i="156"/>
  <c r="E28" i="156"/>
  <c r="E15" i="156"/>
  <c r="E18" i="156" l="1"/>
  <c r="E17" i="156"/>
  <c r="E16" i="156"/>
  <c r="E14" i="156"/>
  <c r="C31" i="8"/>
  <c r="C30" i="8"/>
  <c r="C29" i="8"/>
  <c r="C27" i="8"/>
  <c r="C25" i="8"/>
  <c r="C22" i="8"/>
  <c r="C18" i="8"/>
  <c r="C20" i="8" s="1"/>
  <c r="C16" i="8"/>
  <c r="C19" i="8" s="1"/>
  <c r="D15" i="155"/>
  <c r="D15" i="154"/>
  <c r="D33" i="155"/>
  <c r="D26" i="155"/>
  <c r="D25" i="155"/>
  <c r="C21" i="8" l="1"/>
  <c r="E32" i="156"/>
  <c r="E33" i="155"/>
  <c r="D28" i="155"/>
  <c r="E28" i="155" s="1"/>
  <c r="D27" i="155"/>
  <c r="E27" i="155" s="1"/>
  <c r="E26" i="155"/>
  <c r="E25" i="155"/>
  <c r="E24" i="155"/>
  <c r="D24" i="155"/>
  <c r="D23" i="155"/>
  <c r="E23" i="155" s="1"/>
  <c r="D22" i="155"/>
  <c r="E22" i="155" s="1"/>
  <c r="D21" i="155"/>
  <c r="E21" i="155" s="1"/>
  <c r="D19" i="155"/>
  <c r="E19" i="155" s="1"/>
  <c r="D17" i="155"/>
  <c r="D16" i="155"/>
  <c r="D18" i="155" s="1"/>
  <c r="D20" i="155"/>
  <c r="E14" i="155"/>
  <c r="D14" i="155"/>
  <c r="D13" i="155"/>
  <c r="E13" i="155" s="1"/>
  <c r="D34" i="154"/>
  <c r="D17" i="154"/>
  <c r="D25" i="154"/>
  <c r="D22" i="154"/>
  <c r="D21" i="154"/>
  <c r="D16" i="154"/>
  <c r="D18" i="154" s="1"/>
  <c r="D20" i="154"/>
  <c r="D14" i="154"/>
  <c r="E16" i="155" l="1"/>
  <c r="E15" i="155"/>
  <c r="E29" i="155" s="1"/>
  <c r="E34" i="155" s="1"/>
  <c r="D30" i="152"/>
  <c r="D17" i="152"/>
  <c r="D18" i="152"/>
  <c r="D26" i="152"/>
  <c r="D25" i="152"/>
  <c r="D24" i="152"/>
  <c r="D23" i="152"/>
  <c r="D22" i="152"/>
  <c r="D21" i="152"/>
  <c r="D20" i="152"/>
  <c r="D19" i="152"/>
  <c r="E34" i="154" l="1"/>
  <c r="D29" i="154"/>
  <c r="E29" i="154" s="1"/>
  <c r="D28" i="154"/>
  <c r="E28" i="154" s="1"/>
  <c r="E27" i="154"/>
  <c r="D27" i="154"/>
  <c r="D26" i="154"/>
  <c r="E26" i="154" s="1"/>
  <c r="E25" i="154"/>
  <c r="D24" i="154"/>
  <c r="E24" i="154" s="1"/>
  <c r="D23" i="154"/>
  <c r="E23" i="154" s="1"/>
  <c r="E22" i="154"/>
  <c r="E21" i="154"/>
  <c r="E20" i="154"/>
  <c r="D19" i="154"/>
  <c r="E19" i="154" s="1"/>
  <c r="E16" i="154"/>
  <c r="E15" i="154"/>
  <c r="E14" i="154"/>
  <c r="D13" i="154"/>
  <c r="E13" i="154" s="1"/>
  <c r="D34" i="153"/>
  <c r="D20" i="153"/>
  <c r="D19" i="153"/>
  <c r="D18" i="153"/>
  <c r="D17" i="153"/>
  <c r="D16" i="152"/>
  <c r="D15" i="152"/>
  <c r="E30" i="154" l="1"/>
  <c r="E35" i="154" s="1"/>
  <c r="E30" i="152"/>
  <c r="E17" i="152"/>
  <c r="E26" i="152"/>
  <c r="D27" i="152"/>
  <c r="E27" i="152" s="1"/>
  <c r="E25" i="152"/>
  <c r="E24" i="152"/>
  <c r="E23" i="152"/>
  <c r="E22" i="152"/>
  <c r="E15" i="152"/>
  <c r="E20" i="152"/>
  <c r="E19" i="152"/>
  <c r="E16" i="152" l="1"/>
  <c r="E18" i="152"/>
  <c r="D14" i="152"/>
  <c r="E14" i="152" s="1"/>
  <c r="D13" i="152"/>
  <c r="E13" i="152" l="1"/>
  <c r="E34" i="153"/>
  <c r="E33" i="153"/>
  <c r="D33" i="153"/>
  <c r="E32" i="153"/>
  <c r="D32" i="153"/>
  <c r="E27" i="153"/>
  <c r="D27" i="153"/>
  <c r="D26" i="153"/>
  <c r="E26" i="153" s="1"/>
  <c r="E25" i="153"/>
  <c r="D25" i="153"/>
  <c r="D24" i="153"/>
  <c r="E24" i="153" s="1"/>
  <c r="E23" i="153"/>
  <c r="D23" i="153"/>
  <c r="D22" i="153"/>
  <c r="E22" i="153" s="1"/>
  <c r="D21" i="153"/>
  <c r="E21" i="153" s="1"/>
  <c r="E20" i="153"/>
  <c r="E19" i="153"/>
  <c r="E18" i="153"/>
  <c r="E17" i="153"/>
  <c r="D16" i="153"/>
  <c r="E16" i="153" s="1"/>
  <c r="D15" i="153"/>
  <c r="E15" i="153" s="1"/>
  <c r="D14" i="153"/>
  <c r="E14" i="153" s="1"/>
  <c r="D13" i="153"/>
  <c r="E13" i="153" s="1"/>
  <c r="E21" i="152"/>
  <c r="E31" i="152" l="1"/>
  <c r="E28" i="153"/>
  <c r="E35" i="153" s="1"/>
  <c r="C67" i="128" l="1"/>
  <c r="C56" i="148"/>
  <c r="C63" i="150" l="1"/>
  <c r="E63" i="150" s="1"/>
  <c r="C60" i="150"/>
  <c r="C59" i="150"/>
  <c r="C58" i="150"/>
  <c r="E58" i="150" s="1"/>
  <c r="C29" i="149"/>
  <c r="E55" i="150"/>
  <c r="E49" i="150"/>
  <c r="E43" i="150"/>
  <c r="E42" i="150"/>
  <c r="E41" i="150"/>
  <c r="E38" i="150"/>
  <c r="E37" i="150"/>
  <c r="E35" i="150"/>
  <c r="E33" i="150"/>
  <c r="E32" i="150"/>
  <c r="E30" i="150"/>
  <c r="E29" i="150"/>
  <c r="E28" i="150"/>
  <c r="C23" i="149"/>
  <c r="E23" i="149" s="1"/>
  <c r="E27" i="150"/>
  <c r="E25" i="150"/>
  <c r="E24" i="150"/>
  <c r="E60" i="150"/>
  <c r="E59" i="150"/>
  <c r="E54" i="150"/>
  <c r="E53" i="150"/>
  <c r="E52" i="150"/>
  <c r="E51" i="150"/>
  <c r="E50" i="150"/>
  <c r="E47" i="150"/>
  <c r="E46" i="150"/>
  <c r="E45" i="150"/>
  <c r="E44" i="150"/>
  <c r="E40" i="150"/>
  <c r="E39" i="150"/>
  <c r="E31" i="150"/>
  <c r="E26" i="150"/>
  <c r="C43" i="149"/>
  <c r="E43" i="149" s="1"/>
  <c r="C40" i="149"/>
  <c r="C39" i="149"/>
  <c r="E39" i="149" s="1"/>
  <c r="C38" i="149"/>
  <c r="C37" i="149"/>
  <c r="C36" i="149"/>
  <c r="E36" i="149" s="1"/>
  <c r="C35" i="149"/>
  <c r="E35" i="149" s="1"/>
  <c r="C34" i="149"/>
  <c r="E34" i="149" s="1"/>
  <c r="C33" i="149"/>
  <c r="C32" i="149"/>
  <c r="C31" i="149"/>
  <c r="C28" i="149"/>
  <c r="E28" i="149" s="1"/>
  <c r="C27" i="149"/>
  <c r="E27" i="149" s="1"/>
  <c r="C26" i="149"/>
  <c r="E26" i="149" s="1"/>
  <c r="C25" i="149"/>
  <c r="E25" i="149" s="1"/>
  <c r="C24" i="149"/>
  <c r="E24" i="149" s="1"/>
  <c r="C22" i="149"/>
  <c r="E22" i="149" s="1"/>
  <c r="C21" i="149"/>
  <c r="E21" i="149" s="1"/>
  <c r="C20" i="149"/>
  <c r="E20" i="149" s="1"/>
  <c r="C19" i="149"/>
  <c r="E19" i="149" s="1"/>
  <c r="E40" i="149"/>
  <c r="E38" i="149"/>
  <c r="E37" i="149"/>
  <c r="E64" i="150" l="1"/>
  <c r="E44" i="149"/>
  <c r="E34" i="150"/>
  <c r="E32" i="149"/>
  <c r="E31" i="149"/>
  <c r="E33" i="149"/>
  <c r="C61" i="148"/>
  <c r="C58" i="148"/>
  <c r="C57" i="148"/>
  <c r="C49" i="148"/>
  <c r="C48" i="148"/>
  <c r="E61" i="148" l="1"/>
  <c r="E58" i="148"/>
  <c r="E57" i="148"/>
  <c r="E56" i="148"/>
  <c r="E53" i="148"/>
  <c r="E52" i="148"/>
  <c r="E51" i="148"/>
  <c r="E49" i="148"/>
  <c r="E48" i="148"/>
  <c r="E47" i="148"/>
  <c r="E46" i="148"/>
  <c r="E45" i="148"/>
  <c r="E44" i="148"/>
  <c r="E43" i="148"/>
  <c r="E42" i="148"/>
  <c r="E41" i="148"/>
  <c r="E40" i="148"/>
  <c r="E39" i="148"/>
  <c r="E38" i="148"/>
  <c r="E36" i="148"/>
  <c r="E35" i="148"/>
  <c r="E34" i="148"/>
  <c r="E33" i="148"/>
  <c r="E32" i="148"/>
  <c r="E31" i="148"/>
  <c r="E30" i="148"/>
  <c r="E62" i="148" s="1"/>
  <c r="E29" i="148"/>
  <c r="E28" i="148"/>
  <c r="E27" i="148"/>
  <c r="E56" i="125" l="1"/>
  <c r="E50" i="125"/>
  <c r="E51" i="125"/>
  <c r="E49" i="125"/>
  <c r="E48" i="125"/>
  <c r="E47" i="125"/>
  <c r="E46" i="125"/>
  <c r="E45" i="125"/>
  <c r="E44" i="125"/>
  <c r="E41" i="125"/>
  <c r="E39" i="125"/>
  <c r="E37" i="125"/>
  <c r="C56" i="146" l="1"/>
  <c r="C53" i="146"/>
  <c r="C52" i="146"/>
  <c r="C51" i="146"/>
  <c r="C43" i="146"/>
  <c r="C25" i="146"/>
  <c r="C24" i="146"/>
  <c r="C23" i="146"/>
  <c r="C22" i="146"/>
  <c r="C55" i="145"/>
  <c r="C51" i="145"/>
  <c r="C50" i="145"/>
  <c r="C49" i="145"/>
  <c r="C48" i="145"/>
  <c r="C36" i="145"/>
  <c r="C26" i="143"/>
  <c r="E26" i="143" s="1"/>
  <c r="C22" i="145"/>
  <c r="C21" i="145"/>
  <c r="C20" i="145"/>
  <c r="C19" i="145"/>
  <c r="C58" i="144"/>
  <c r="C54" i="144"/>
  <c r="C53" i="144"/>
  <c r="C52" i="144"/>
  <c r="C51" i="144"/>
  <c r="C65" i="143"/>
  <c r="C64" i="143"/>
  <c r="C63" i="143"/>
  <c r="E63" i="143" s="1"/>
  <c r="C73" i="134"/>
  <c r="E73" i="134" s="1"/>
  <c r="C69" i="134"/>
  <c r="E69" i="134" s="1"/>
  <c r="C68" i="134"/>
  <c r="E68" i="134" s="1"/>
  <c r="C67" i="134"/>
  <c r="E67" i="134" s="1"/>
  <c r="C69" i="132"/>
  <c r="C60" i="132"/>
  <c r="C59" i="132"/>
  <c r="E59" i="132" s="1"/>
  <c r="C58" i="132"/>
  <c r="E58" i="132" s="1"/>
  <c r="C57" i="132"/>
  <c r="E57" i="132" s="1"/>
  <c r="C76" i="131"/>
  <c r="C73" i="131"/>
  <c r="C72" i="131"/>
  <c r="C71" i="131"/>
  <c r="E71" i="131" s="1"/>
  <c r="C46" i="130"/>
  <c r="C43" i="130"/>
  <c r="C42" i="130"/>
  <c r="C41" i="130"/>
  <c r="C81" i="129"/>
  <c r="C76" i="129"/>
  <c r="C75" i="129"/>
  <c r="C74" i="129"/>
  <c r="C60" i="128"/>
  <c r="C59" i="128"/>
  <c r="C58" i="128"/>
  <c r="C57" i="128"/>
  <c r="C56" i="128"/>
  <c r="C55" i="128"/>
  <c r="C54" i="128"/>
  <c r="C53" i="128"/>
  <c r="C52" i="128"/>
  <c r="C48" i="127"/>
  <c r="C47" i="127"/>
  <c r="E47" i="127" s="1"/>
  <c r="C46" i="127"/>
  <c r="C45" i="127"/>
  <c r="C44" i="127"/>
  <c r="C43" i="127"/>
  <c r="C42" i="127"/>
  <c r="C41" i="127"/>
  <c r="C40" i="127"/>
  <c r="C30" i="127"/>
  <c r="C29" i="127"/>
  <c r="C88" i="125"/>
  <c r="E88" i="125" s="1"/>
  <c r="C82" i="125"/>
  <c r="E82" i="125" s="1"/>
  <c r="C57" i="126"/>
  <c r="E57" i="126" s="1"/>
  <c r="C53" i="126"/>
  <c r="E53" i="126" s="1"/>
  <c r="C52" i="126"/>
  <c r="E52" i="126" s="1"/>
  <c r="C51" i="126"/>
  <c r="E51" i="126" s="1"/>
  <c r="C50" i="126"/>
  <c r="C49" i="126"/>
  <c r="E49" i="126" s="1"/>
  <c r="C48" i="126"/>
  <c r="E48" i="126" s="1"/>
  <c r="C47" i="126"/>
  <c r="E47" i="126" s="1"/>
  <c r="C46" i="126"/>
  <c r="E46" i="126" s="1"/>
  <c r="C35" i="126"/>
  <c r="C34" i="126"/>
  <c r="C93" i="125"/>
  <c r="E93" i="125" s="1"/>
  <c r="C89" i="125"/>
  <c r="E89" i="125" s="1"/>
  <c r="C87" i="125"/>
  <c r="E87" i="125" s="1"/>
  <c r="C85" i="125"/>
  <c r="E85" i="125" s="1"/>
  <c r="C84" i="125"/>
  <c r="E84" i="125" s="1"/>
  <c r="E83" i="125"/>
  <c r="C86" i="125"/>
  <c r="E86" i="125" s="1"/>
  <c r="E46" i="144"/>
  <c r="C32" i="144"/>
  <c r="E32" i="144" s="1"/>
  <c r="C29" i="144"/>
  <c r="E29" i="144" s="1"/>
  <c r="C28" i="144"/>
  <c r="E28" i="144" s="1"/>
  <c r="C27" i="144"/>
  <c r="E27" i="144" s="1"/>
  <c r="C26" i="144"/>
  <c r="E26" i="144" s="1"/>
  <c r="C25" i="144"/>
  <c r="C24" i="144"/>
  <c r="C23" i="144"/>
  <c r="C21" i="144"/>
  <c r="E21" i="144" s="1"/>
  <c r="E30" i="144"/>
  <c r="C59" i="143"/>
  <c r="E59" i="143" s="1"/>
  <c r="C55" i="143"/>
  <c r="E55" i="143" s="1"/>
  <c r="C50" i="143"/>
  <c r="E50" i="143" s="1"/>
  <c r="C45" i="143"/>
  <c r="E45" i="143" s="1"/>
  <c r="E65" i="143"/>
  <c r="E64" i="143"/>
  <c r="C44" i="143"/>
  <c r="E44" i="143" s="1"/>
  <c r="C43" i="143"/>
  <c r="E43" i="143" s="1"/>
  <c r="C42" i="143"/>
  <c r="E42" i="143" s="1"/>
  <c r="C41" i="143"/>
  <c r="E41" i="143" s="1"/>
  <c r="C40" i="143"/>
  <c r="E40" i="143" s="1"/>
  <c r="C39" i="143"/>
  <c r="E39" i="143" s="1"/>
  <c r="E35" i="143"/>
  <c r="E25" i="143"/>
  <c r="E24" i="143"/>
  <c r="E23" i="143"/>
  <c r="E38" i="132"/>
  <c r="C19" i="130"/>
  <c r="C84" i="128"/>
  <c r="C37" i="128"/>
  <c r="E26" i="126"/>
  <c r="E36" i="125"/>
  <c r="C59" i="134"/>
  <c r="E46" i="134"/>
  <c r="C60" i="134"/>
  <c r="E60" i="134" s="1"/>
  <c r="C58" i="134"/>
  <c r="E58" i="134" s="1"/>
  <c r="C38" i="134"/>
  <c r="E38" i="134" s="1"/>
  <c r="E39" i="134"/>
  <c r="C56" i="134"/>
  <c r="E56" i="134" s="1"/>
  <c r="C55" i="134"/>
  <c r="E55" i="134" s="1"/>
  <c r="C54" i="134"/>
  <c r="E54" i="134" s="1"/>
  <c r="C53" i="134"/>
  <c r="E53" i="134" s="1"/>
  <c r="E52" i="134"/>
  <c r="C51" i="134"/>
  <c r="E51" i="134" s="1"/>
  <c r="C50" i="134"/>
  <c r="E50" i="134" s="1"/>
  <c r="C49" i="134"/>
  <c r="E49" i="134" s="1"/>
  <c r="E28" i="134"/>
  <c r="E29" i="134"/>
  <c r="E50" i="126"/>
  <c r="E37" i="133"/>
  <c r="E34" i="133"/>
  <c r="E33" i="133"/>
  <c r="E32" i="133"/>
  <c r="E29" i="133"/>
  <c r="E24" i="133"/>
  <c r="E23" i="133"/>
  <c r="E69" i="132"/>
  <c r="E60" i="132"/>
  <c r="E76" i="131"/>
  <c r="E73" i="131"/>
  <c r="E72" i="131"/>
  <c r="E55" i="128"/>
  <c r="E30" i="132"/>
  <c r="E29" i="132"/>
  <c r="E43" i="132"/>
  <c r="E44" i="132"/>
  <c r="E42" i="132"/>
  <c r="E41" i="132"/>
  <c r="E40" i="132"/>
  <c r="E37" i="132"/>
  <c r="E35" i="132"/>
  <c r="E34" i="132"/>
  <c r="E33" i="132"/>
  <c r="E31" i="132"/>
  <c r="E32" i="132"/>
  <c r="E28" i="132"/>
  <c r="E27" i="132"/>
  <c r="E26" i="132"/>
  <c r="E25" i="132"/>
  <c r="E24" i="132"/>
  <c r="C42" i="144" l="1"/>
  <c r="C57" i="134"/>
  <c r="E57" i="134" s="1"/>
  <c r="E28" i="133"/>
  <c r="C39" i="132"/>
  <c r="E39" i="132" s="1"/>
  <c r="E83" i="131"/>
  <c r="E80" i="131"/>
  <c r="E79" i="131"/>
  <c r="E78" i="131"/>
  <c r="E77" i="131"/>
  <c r="E70" i="131"/>
  <c r="E69" i="131"/>
  <c r="E68" i="131"/>
  <c r="E67" i="131"/>
  <c r="E66" i="131"/>
  <c r="E65" i="131"/>
  <c r="E64" i="131"/>
  <c r="E63" i="131"/>
  <c r="E61" i="131"/>
  <c r="E57" i="131"/>
  <c r="E56" i="131"/>
  <c r="E54" i="131"/>
  <c r="E50" i="131"/>
  <c r="E49" i="131"/>
  <c r="E48" i="131"/>
  <c r="E47" i="131"/>
  <c r="E46" i="131"/>
  <c r="E43" i="131"/>
  <c r="E38" i="131"/>
  <c r="E30" i="131"/>
  <c r="E29" i="131"/>
  <c r="E28" i="131"/>
  <c r="E26" i="131"/>
  <c r="E27" i="131"/>
  <c r="C35" i="130"/>
  <c r="C34" i="130"/>
  <c r="C33" i="130"/>
  <c r="C32" i="130"/>
  <c r="C26" i="130"/>
  <c r="E53" i="129"/>
  <c r="E55" i="129"/>
  <c r="E50" i="129"/>
  <c r="C46" i="129"/>
  <c r="E30" i="129"/>
  <c r="C80" i="128"/>
  <c r="C79" i="128"/>
  <c r="C78" i="128"/>
  <c r="C77" i="128"/>
  <c r="C76" i="128"/>
  <c r="C75" i="128"/>
  <c r="C74" i="128"/>
  <c r="E74" i="128" s="1"/>
  <c r="C73" i="128"/>
  <c r="C72" i="128"/>
  <c r="C71" i="128"/>
  <c r="C70" i="128"/>
  <c r="E70" i="128" s="1"/>
  <c r="C69" i="128"/>
  <c r="C68" i="128"/>
  <c r="C66" i="128"/>
  <c r="C65" i="128"/>
  <c r="C64" i="128"/>
  <c r="C63" i="128"/>
  <c r="C62" i="128"/>
  <c r="C61" i="128"/>
  <c r="C51" i="128"/>
  <c r="C50" i="128"/>
  <c r="C47" i="128"/>
  <c r="C44" i="128"/>
  <c r="E44" i="128" s="1"/>
  <c r="C42" i="128"/>
  <c r="C41" i="128"/>
  <c r="C40" i="128"/>
  <c r="E38" i="128"/>
  <c r="C36" i="128"/>
  <c r="C35" i="128"/>
  <c r="C34" i="128"/>
  <c r="C64" i="125"/>
  <c r="E64" i="125" s="1"/>
  <c r="C63" i="125"/>
  <c r="E63" i="125" s="1"/>
  <c r="C62" i="125"/>
  <c r="E62" i="125" s="1"/>
  <c r="C61" i="125"/>
  <c r="E61" i="125" s="1"/>
  <c r="C34" i="125"/>
  <c r="E34" i="125" s="1"/>
  <c r="C33" i="125"/>
  <c r="E33" i="125" s="1"/>
  <c r="C32" i="125"/>
  <c r="E32" i="125" s="1"/>
  <c r="C31" i="125"/>
  <c r="E31" i="128"/>
  <c r="C30" i="128"/>
  <c r="C29" i="128"/>
  <c r="C28" i="128"/>
  <c r="E28" i="128" s="1"/>
  <c r="C53" i="127"/>
  <c r="C52" i="127"/>
  <c r="C51" i="127"/>
  <c r="C50" i="127"/>
  <c r="C49" i="127"/>
  <c r="C39" i="127"/>
  <c r="C38" i="127"/>
  <c r="C37" i="127"/>
  <c r="C34" i="127"/>
  <c r="C31" i="127"/>
  <c r="E31" i="127" s="1"/>
  <c r="C27" i="127"/>
  <c r="C24" i="127"/>
  <c r="C23" i="127"/>
  <c r="C45" i="126"/>
  <c r="E45" i="126" s="1"/>
  <c r="C44" i="126"/>
  <c r="E44" i="126" s="1"/>
  <c r="C43" i="126"/>
  <c r="E43" i="126" s="1"/>
  <c r="C40" i="126"/>
  <c r="E40" i="126" s="1"/>
  <c r="C39" i="126"/>
  <c r="E39" i="126" s="1"/>
  <c r="C36" i="126"/>
  <c r="E36" i="126" s="1"/>
  <c r="C32" i="126"/>
  <c r="E32" i="126" s="1"/>
  <c r="E29" i="126"/>
  <c r="E28" i="126"/>
  <c r="C25" i="126"/>
  <c r="E25" i="126" s="1"/>
  <c r="C24" i="126"/>
  <c r="C81" i="125" l="1"/>
  <c r="E81" i="125" s="1"/>
  <c r="C79" i="125"/>
  <c r="E79" i="125" s="1"/>
  <c r="C76" i="125"/>
  <c r="E76" i="125" s="1"/>
  <c r="C75" i="125"/>
  <c r="E75" i="125" s="1"/>
  <c r="C74" i="125"/>
  <c r="E74" i="125" s="1"/>
  <c r="C72" i="125"/>
  <c r="E72" i="125" s="1"/>
  <c r="C68" i="125"/>
  <c r="E68" i="125" s="1"/>
  <c r="C66" i="125"/>
  <c r="E66" i="125" s="1"/>
  <c r="C60" i="125"/>
  <c r="E60" i="125" s="1"/>
  <c r="C59" i="125"/>
  <c r="E59" i="125" s="1"/>
  <c r="C57" i="125"/>
  <c r="E57" i="125" s="1"/>
  <c r="E55" i="125"/>
  <c r="E54" i="125"/>
  <c r="E53" i="125"/>
  <c r="E52" i="125"/>
  <c r="E40" i="125"/>
  <c r="E42" i="125"/>
  <c r="E24" i="146" l="1"/>
  <c r="E23" i="146"/>
  <c r="C26" i="146"/>
  <c r="E26" i="146" s="1"/>
  <c r="E25" i="146"/>
  <c r="E22" i="146"/>
  <c r="C21" i="146"/>
  <c r="E21" i="146" s="1"/>
  <c r="E56" i="146"/>
  <c r="E53" i="146"/>
  <c r="E52" i="146"/>
  <c r="E51" i="146"/>
  <c r="C50" i="146"/>
  <c r="E50" i="146" s="1"/>
  <c r="C49" i="146"/>
  <c r="E49" i="146" s="1"/>
  <c r="C48" i="146"/>
  <c r="E48" i="146" s="1"/>
  <c r="C47" i="146"/>
  <c r="E47" i="146" s="1"/>
  <c r="E42" i="146"/>
  <c r="C41" i="146"/>
  <c r="E41" i="146" s="1"/>
  <c r="C38" i="146"/>
  <c r="E38" i="146" s="1"/>
  <c r="C36" i="146"/>
  <c r="C35" i="146"/>
  <c r="E35" i="146" s="1"/>
  <c r="C34" i="146"/>
  <c r="E34" i="146" s="1"/>
  <c r="C33" i="146"/>
  <c r="E33" i="146" s="1"/>
  <c r="C32" i="146"/>
  <c r="E32" i="146" s="1"/>
  <c r="C31" i="146"/>
  <c r="E31" i="146" s="1"/>
  <c r="E30" i="146"/>
  <c r="E29" i="146"/>
  <c r="E28" i="146"/>
  <c r="E27" i="146"/>
  <c r="E43" i="146"/>
  <c r="E22" i="145"/>
  <c r="E20" i="145"/>
  <c r="E19" i="145"/>
  <c r="E21" i="145"/>
  <c r="C23" i="145"/>
  <c r="E23" i="145" s="1"/>
  <c r="C24" i="145"/>
  <c r="E24" i="145" s="1"/>
  <c r="E55" i="145"/>
  <c r="E51" i="145"/>
  <c r="E50" i="145"/>
  <c r="E49" i="145"/>
  <c r="E48" i="145"/>
  <c r="C43" i="145"/>
  <c r="E43" i="145" s="1"/>
  <c r="C42" i="145"/>
  <c r="E42" i="145" s="1"/>
  <c r="C41" i="145"/>
  <c r="E41" i="145" s="1"/>
  <c r="C40" i="145"/>
  <c r="E40" i="145" s="1"/>
  <c r="C39" i="145"/>
  <c r="E39" i="145" s="1"/>
  <c r="C38" i="145"/>
  <c r="E38" i="145" s="1"/>
  <c r="E36" i="145"/>
  <c r="C35" i="145"/>
  <c r="E35" i="145" s="1"/>
  <c r="C34" i="145"/>
  <c r="E34" i="145" s="1"/>
  <c r="C33" i="145"/>
  <c r="C37" i="145" s="1"/>
  <c r="E30" i="145"/>
  <c r="E28" i="145"/>
  <c r="C27" i="145"/>
  <c r="E27" i="145" s="1"/>
  <c r="E25" i="145"/>
  <c r="E23" i="144"/>
  <c r="C20" i="144"/>
  <c r="E20" i="144" s="1"/>
  <c r="E58" i="144"/>
  <c r="E54" i="144"/>
  <c r="E53" i="144"/>
  <c r="E52" i="144"/>
  <c r="E51" i="144"/>
  <c r="E45" i="144"/>
  <c r="C44" i="144"/>
  <c r="E44" i="144" s="1"/>
  <c r="C41" i="144"/>
  <c r="E41" i="144" s="1"/>
  <c r="C40" i="144"/>
  <c r="E40" i="144" s="1"/>
  <c r="C39" i="144"/>
  <c r="E39" i="144" s="1"/>
  <c r="C38" i="144"/>
  <c r="E38" i="144" s="1"/>
  <c r="E35" i="144"/>
  <c r="E33" i="144"/>
  <c r="E24" i="144"/>
  <c r="E60" i="143"/>
  <c r="E46" i="133"/>
  <c r="E56" i="145" l="1"/>
  <c r="E33" i="145"/>
  <c r="E37" i="145"/>
  <c r="E59" i="144"/>
  <c r="E25" i="144"/>
  <c r="E42" i="144"/>
  <c r="C46" i="146"/>
  <c r="E46" i="146" s="1"/>
  <c r="E36" i="146"/>
  <c r="E57" i="146" s="1"/>
  <c r="E45" i="146"/>
  <c r="E44" i="146"/>
  <c r="C57" i="143"/>
  <c r="E57" i="143" s="1"/>
  <c r="C56" i="143"/>
  <c r="E56" i="143" s="1"/>
  <c r="C54" i="143"/>
  <c r="E54" i="143" s="1"/>
  <c r="E52" i="143"/>
  <c r="E51" i="143"/>
  <c r="C58" i="143"/>
  <c r="E49" i="143"/>
  <c r="E48" i="143"/>
  <c r="E47" i="143"/>
  <c r="E46" i="143"/>
  <c r="E37" i="131"/>
  <c r="C33" i="143"/>
  <c r="E33" i="143" s="1"/>
  <c r="C32" i="143"/>
  <c r="E32" i="143" s="1"/>
  <c r="C31" i="143"/>
  <c r="E31" i="143" s="1"/>
  <c r="E30" i="143"/>
  <c r="E29" i="143"/>
  <c r="E28" i="143"/>
  <c r="E27" i="143"/>
  <c r="E43" i="134"/>
  <c r="E42" i="134"/>
  <c r="E41" i="134"/>
  <c r="E36" i="134"/>
  <c r="E37" i="134"/>
  <c r="E35" i="134"/>
  <c r="E34" i="134"/>
  <c r="E33" i="134"/>
  <c r="E32" i="134"/>
  <c r="E31" i="134"/>
  <c r="E30" i="134"/>
  <c r="E34" i="131"/>
  <c r="E33" i="131"/>
  <c r="E32" i="131"/>
  <c r="C25" i="130"/>
  <c r="E25" i="130" s="1"/>
  <c r="C24" i="130"/>
  <c r="E24" i="130" s="1"/>
  <c r="E21" i="130"/>
  <c r="E20" i="130"/>
  <c r="E42" i="129"/>
  <c r="E41" i="129"/>
  <c r="E38" i="129"/>
  <c r="E37" i="129"/>
  <c r="E34" i="129"/>
  <c r="E33" i="129"/>
  <c r="C64" i="134"/>
  <c r="C45" i="134" s="1"/>
  <c r="E62" i="134"/>
  <c r="E61" i="134"/>
  <c r="C30" i="126"/>
  <c r="E30" i="126" s="1"/>
  <c r="C58" i="129"/>
  <c r="C45" i="129"/>
  <c r="E52" i="133"/>
  <c r="E51" i="133"/>
  <c r="E50" i="133"/>
  <c r="E49" i="133"/>
  <c r="E48" i="133"/>
  <c r="E47" i="133"/>
  <c r="E45" i="133"/>
  <c r="E37" i="128"/>
  <c r="E39" i="128"/>
  <c r="E40" i="128"/>
  <c r="E65" i="133"/>
  <c r="E61" i="133"/>
  <c r="E55" i="133"/>
  <c r="E54" i="133"/>
  <c r="E53" i="133"/>
  <c r="E44" i="133"/>
  <c r="E43" i="133"/>
  <c r="E42" i="133"/>
  <c r="E39" i="133"/>
  <c r="E35" i="133"/>
  <c r="E31" i="133"/>
  <c r="E30" i="133"/>
  <c r="E27" i="133"/>
  <c r="E25" i="133"/>
  <c r="E22" i="133"/>
  <c r="E55" i="132"/>
  <c r="E54" i="132"/>
  <c r="E56" i="132"/>
  <c r="E52" i="132"/>
  <c r="E51" i="132"/>
  <c r="E53" i="132"/>
  <c r="C49" i="132"/>
  <c r="E49" i="132" s="1"/>
  <c r="C45" i="132"/>
  <c r="E45" i="132" s="1"/>
  <c r="E36" i="132"/>
  <c r="E70" i="132" s="1"/>
  <c r="E58" i="143" l="1"/>
  <c r="C36" i="143"/>
  <c r="E36" i="143" s="1"/>
  <c r="C37" i="143"/>
  <c r="E37" i="143" s="1"/>
  <c r="E64" i="134"/>
  <c r="C48" i="134"/>
  <c r="C47" i="134"/>
  <c r="E47" i="134" s="1"/>
  <c r="E66" i="133"/>
  <c r="E40" i="134"/>
  <c r="E27" i="134"/>
  <c r="E26" i="133"/>
  <c r="C38" i="133"/>
  <c r="E38" i="133" s="1"/>
  <c r="E34" i="143"/>
  <c r="E44" i="134"/>
  <c r="E46" i="130"/>
  <c r="E43" i="130"/>
  <c r="E42" i="130"/>
  <c r="E41" i="130"/>
  <c r="E81" i="129"/>
  <c r="E76" i="129"/>
  <c r="E75" i="129"/>
  <c r="E74" i="129"/>
  <c r="E60" i="128"/>
  <c r="E59" i="128"/>
  <c r="E58" i="128"/>
  <c r="E57" i="128"/>
  <c r="E56" i="128"/>
  <c r="E54" i="128"/>
  <c r="E53" i="128"/>
  <c r="E52" i="128"/>
  <c r="E51" i="128"/>
  <c r="E57" i="127"/>
  <c r="E53" i="127"/>
  <c r="E52" i="127"/>
  <c r="E51" i="127"/>
  <c r="E50" i="127"/>
  <c r="E49" i="127"/>
  <c r="E45" i="127"/>
  <c r="E44" i="127"/>
  <c r="E42" i="127"/>
  <c r="E41" i="127"/>
  <c r="E40" i="127"/>
  <c r="E39" i="127"/>
  <c r="E38" i="127"/>
  <c r="E37" i="127"/>
  <c r="E34" i="127"/>
  <c r="E29" i="127"/>
  <c r="E27" i="127"/>
  <c r="E26" i="127"/>
  <c r="E25" i="127"/>
  <c r="E24" i="127"/>
  <c r="E23" i="127"/>
  <c r="E48" i="127"/>
  <c r="E46" i="127"/>
  <c r="E43" i="127"/>
  <c r="E24" i="126"/>
  <c r="E45" i="134" l="1"/>
  <c r="E48" i="134"/>
  <c r="E71" i="128" l="1"/>
  <c r="E72" i="128"/>
  <c r="C40" i="131" l="1"/>
  <c r="E40" i="131" s="1"/>
  <c r="C28" i="130"/>
  <c r="E28" i="130" s="1"/>
  <c r="E46" i="129"/>
  <c r="E62" i="131" l="1"/>
  <c r="E44" i="131"/>
  <c r="E41" i="128"/>
  <c r="E44" i="129"/>
  <c r="E42" i="128"/>
  <c r="E26" i="130"/>
  <c r="E67" i="129"/>
  <c r="E66" i="129"/>
  <c r="E65" i="129"/>
  <c r="E43" i="129"/>
  <c r="E35" i="128" l="1"/>
  <c r="E30" i="128"/>
  <c r="E29" i="128"/>
  <c r="E32" i="128"/>
  <c r="C36" i="127"/>
  <c r="E36" i="127" s="1"/>
  <c r="C35" i="127"/>
  <c r="E35" i="127" s="1"/>
  <c r="C42" i="126"/>
  <c r="E42" i="126" s="1"/>
  <c r="C41" i="126"/>
  <c r="E41" i="126" s="1"/>
  <c r="C31" i="126"/>
  <c r="E31" i="126" s="1"/>
  <c r="C71" i="125"/>
  <c r="E71" i="125" s="1"/>
  <c r="C70" i="125"/>
  <c r="E70" i="125" s="1"/>
  <c r="C65" i="125"/>
  <c r="E65" i="125" s="1"/>
  <c r="E69" i="128" l="1"/>
  <c r="E67" i="128"/>
  <c r="C48" i="128"/>
  <c r="E48" i="128" s="1"/>
  <c r="C49" i="128"/>
  <c r="E49" i="128" s="1"/>
  <c r="E51" i="129" l="1"/>
  <c r="E43" i="128"/>
  <c r="E31" i="131" l="1"/>
  <c r="E19" i="130"/>
  <c r="E32" i="129"/>
  <c r="E63" i="129"/>
  <c r="E39" i="129"/>
  <c r="E60" i="131" l="1"/>
  <c r="E59" i="131"/>
  <c r="E58" i="131"/>
  <c r="E55" i="131"/>
  <c r="C52" i="131" l="1"/>
  <c r="E52" i="131" s="1"/>
  <c r="C51" i="131"/>
  <c r="E51" i="131" s="1"/>
  <c r="E42" i="131"/>
  <c r="C39" i="131"/>
  <c r="E39" i="131" s="1"/>
  <c r="E36" i="131"/>
  <c r="E35" i="131"/>
  <c r="E84" i="131" s="1"/>
  <c r="E45" i="131"/>
  <c r="C40" i="130" l="1"/>
  <c r="E40" i="130" s="1"/>
  <c r="C39" i="130"/>
  <c r="E39" i="130" s="1"/>
  <c r="C38" i="130"/>
  <c r="E38" i="130" s="1"/>
  <c r="C37" i="130"/>
  <c r="E37" i="130" s="1"/>
  <c r="C36" i="130"/>
  <c r="E36" i="130" s="1"/>
  <c r="E35" i="130"/>
  <c r="E34" i="130"/>
  <c r="E32" i="130"/>
  <c r="E33" i="130"/>
  <c r="C31" i="130"/>
  <c r="E31" i="130" s="1"/>
  <c r="C30" i="130"/>
  <c r="E30" i="130" s="1"/>
  <c r="C29" i="130"/>
  <c r="E29" i="130" s="1"/>
  <c r="C27" i="130"/>
  <c r="E27" i="130" s="1"/>
  <c r="E47" i="130" l="1"/>
  <c r="E64" i="129"/>
  <c r="E61" i="129"/>
  <c r="E49" i="129"/>
  <c r="E73" i="129"/>
  <c r="E72" i="129"/>
  <c r="E71" i="129"/>
  <c r="E70" i="129"/>
  <c r="E69" i="129"/>
  <c r="E68" i="129"/>
  <c r="E62" i="129"/>
  <c r="C59" i="129" l="1"/>
  <c r="E59" i="129" s="1"/>
  <c r="E58" i="129"/>
  <c r="E57" i="129"/>
  <c r="E56" i="129"/>
  <c r="E54" i="129"/>
  <c r="E52" i="129"/>
  <c r="E48" i="129"/>
  <c r="E45" i="129"/>
  <c r="E40" i="129"/>
  <c r="E31" i="129" l="1"/>
  <c r="E29" i="129"/>
  <c r="E82" i="129" s="1"/>
  <c r="E84" i="128" l="1"/>
  <c r="E80" i="128"/>
  <c r="E79" i="128"/>
  <c r="E78" i="128"/>
  <c r="E77" i="128"/>
  <c r="E76" i="128"/>
  <c r="E75" i="128"/>
  <c r="E73" i="128"/>
  <c r="E65" i="128"/>
  <c r="E36" i="128"/>
  <c r="E34" i="128"/>
  <c r="E33" i="128"/>
  <c r="E66" i="128"/>
  <c r="E64" i="128"/>
  <c r="E63" i="128"/>
  <c r="E62" i="128"/>
  <c r="E61" i="128"/>
  <c r="E50" i="128"/>
  <c r="E47" i="128"/>
  <c r="C46" i="128"/>
  <c r="E46" i="128" s="1"/>
  <c r="C45" i="128"/>
  <c r="E45" i="128" s="1"/>
  <c r="E85" i="128" l="1"/>
  <c r="E68" i="128"/>
  <c r="E30" i="127"/>
  <c r="C33" i="127"/>
  <c r="E33" i="127" s="1"/>
  <c r="C32" i="127"/>
  <c r="E32" i="127" s="1"/>
  <c r="C28" i="127"/>
  <c r="E28" i="127" s="1"/>
  <c r="E58" i="127" s="1"/>
  <c r="C38" i="126"/>
  <c r="E38" i="126" s="1"/>
  <c r="C37" i="126"/>
  <c r="E37" i="126" s="1"/>
  <c r="C33" i="126"/>
  <c r="E33" i="126" s="1"/>
  <c r="E58" i="126" s="1"/>
  <c r="E35" i="126"/>
  <c r="E34" i="126"/>
  <c r="C80" i="125" l="1"/>
  <c r="E80" i="125" s="1"/>
  <c r="E69" i="125"/>
  <c r="C67" i="125"/>
  <c r="E67" i="125" s="1"/>
  <c r="E31" i="125"/>
  <c r="C78" i="125"/>
  <c r="E78" i="125" s="1"/>
  <c r="C77" i="125"/>
  <c r="E77" i="125" s="1"/>
  <c r="C73" i="125"/>
  <c r="E73" i="125" s="1"/>
  <c r="C58" i="125"/>
  <c r="E58" i="125" s="1"/>
  <c r="E94" i="125" s="1"/>
  <c r="H66" i="122" l="1"/>
  <c r="H67" i="122" s="1"/>
  <c r="G60" i="122"/>
  <c r="F65" i="122" s="1"/>
  <c r="G65" i="122" s="1"/>
  <c r="B53" i="122"/>
  <c r="D53" i="122" s="1"/>
  <c r="B52" i="122"/>
  <c r="B51" i="122"/>
  <c r="D51" i="122" s="1"/>
  <c r="B50" i="122"/>
  <c r="D50" i="122" s="1"/>
  <c r="B49" i="122"/>
  <c r="D49" i="122" s="1"/>
  <c r="B46" i="122"/>
  <c r="D46" i="122" s="1"/>
  <c r="B45" i="122"/>
  <c r="D45" i="122" s="1"/>
  <c r="B36" i="122"/>
  <c r="D36" i="122" s="1"/>
  <c r="B28" i="122"/>
  <c r="B27" i="122" s="1"/>
  <c r="B19" i="122"/>
  <c r="B18" i="122"/>
  <c r="B46" i="121"/>
  <c r="D46" i="121" s="1"/>
  <c r="B45" i="121"/>
  <c r="D45" i="121" s="1"/>
  <c r="B18" i="121"/>
  <c r="H66" i="121"/>
  <c r="H67" i="121" s="1"/>
  <c r="G60" i="121"/>
  <c r="F66" i="121" s="1"/>
  <c r="G66" i="121" s="1"/>
  <c r="B53" i="121"/>
  <c r="D53" i="121" s="1"/>
  <c r="B52" i="121"/>
  <c r="B51" i="121"/>
  <c r="D51" i="121" s="1"/>
  <c r="B50" i="121"/>
  <c r="D50" i="121" s="1"/>
  <c r="B49" i="121"/>
  <c r="D49" i="121" s="1"/>
  <c r="B36" i="121"/>
  <c r="D36" i="121" s="1"/>
  <c r="B28" i="121"/>
  <c r="D28" i="121" s="1"/>
  <c r="B19" i="121"/>
  <c r="B22" i="121" s="1"/>
  <c r="B42" i="122" l="1"/>
  <c r="D42" i="122" s="1"/>
  <c r="B43" i="122"/>
  <c r="B35" i="122"/>
  <c r="F64" i="122"/>
  <c r="B30" i="122"/>
  <c r="F66" i="122"/>
  <c r="G66" i="122" s="1"/>
  <c r="B31" i="122"/>
  <c r="D31" i="122" s="1"/>
  <c r="B33" i="122"/>
  <c r="B34" i="122" s="1"/>
  <c r="D34" i="122" s="1"/>
  <c r="B54" i="122"/>
  <c r="D54" i="122" s="1"/>
  <c r="B22" i="122"/>
  <c r="D22" i="122" s="1"/>
  <c r="D28" i="122"/>
  <c r="D35" i="122"/>
  <c r="B39" i="122"/>
  <c r="D39" i="122" s="1"/>
  <c r="B29" i="122"/>
  <c r="D29" i="122" s="1"/>
  <c r="B41" i="122"/>
  <c r="D41" i="122" s="1"/>
  <c r="B23" i="122"/>
  <c r="B37" i="122"/>
  <c r="D37" i="122" s="1"/>
  <c r="B44" i="122"/>
  <c r="D44" i="122" s="1"/>
  <c r="B26" i="122"/>
  <c r="D26" i="122" s="1"/>
  <c r="D43" i="122"/>
  <c r="B24" i="122"/>
  <c r="D24" i="122" s="1"/>
  <c r="F67" i="122"/>
  <c r="G64" i="122"/>
  <c r="D23" i="122"/>
  <c r="B25" i="122"/>
  <c r="D25" i="122" s="1"/>
  <c r="D30" i="122"/>
  <c r="B32" i="122"/>
  <c r="D32" i="122" s="1"/>
  <c r="B38" i="122"/>
  <c r="D38" i="122" s="1"/>
  <c r="B40" i="122"/>
  <c r="D40" i="122" s="1"/>
  <c r="B43" i="121"/>
  <c r="D43" i="121" s="1"/>
  <c r="B38" i="121"/>
  <c r="D38" i="121" s="1"/>
  <c r="B27" i="121"/>
  <c r="B35" i="121"/>
  <c r="D35" i="121" s="1"/>
  <c r="B26" i="121"/>
  <c r="D26" i="121" s="1"/>
  <c r="B29" i="121"/>
  <c r="D29" i="121" s="1"/>
  <c r="B42" i="121"/>
  <c r="D42" i="121" s="1"/>
  <c r="B23" i="121"/>
  <c r="D23" i="121" s="1"/>
  <c r="B25" i="121"/>
  <c r="D25" i="121" s="1"/>
  <c r="B30" i="121"/>
  <c r="D30" i="121" s="1"/>
  <c r="B24" i="121"/>
  <c r="D24" i="121" s="1"/>
  <c r="B31" i="121"/>
  <c r="D31" i="121" s="1"/>
  <c r="B33" i="121"/>
  <c r="B37" i="121"/>
  <c r="D37" i="121" s="1"/>
  <c r="B39" i="121"/>
  <c r="D39" i="121" s="1"/>
  <c r="B41" i="121"/>
  <c r="D41" i="121" s="1"/>
  <c r="B44" i="121"/>
  <c r="D44" i="121" s="1"/>
  <c r="F65" i="121"/>
  <c r="G65" i="121" s="1"/>
  <c r="B32" i="121"/>
  <c r="D32" i="121" s="1"/>
  <c r="B40" i="121"/>
  <c r="D40" i="121" s="1"/>
  <c r="F64" i="121"/>
  <c r="D22" i="121"/>
  <c r="B31" i="120"/>
  <c r="D33" i="122" l="1"/>
  <c r="G67" i="122"/>
  <c r="D56" i="122"/>
  <c r="G64" i="121"/>
  <c r="G67" i="121" s="1"/>
  <c r="B54" i="121"/>
  <c r="D54" i="121" s="1"/>
  <c r="F67" i="121"/>
  <c r="B34" i="121"/>
  <c r="D34" i="121" s="1"/>
  <c r="D33" i="121"/>
  <c r="B39" i="120"/>
  <c r="D56" i="121" l="1"/>
  <c r="B35" i="120"/>
  <c r="D35" i="120" s="1"/>
  <c r="B26" i="120" l="1"/>
  <c r="B25" i="120"/>
  <c r="B33" i="120"/>
  <c r="B27" i="120"/>
  <c r="D27" i="120" s="1"/>
  <c r="B19" i="120"/>
  <c r="B40" i="120" l="1"/>
  <c r="D40" i="120" s="1"/>
  <c r="D39" i="120"/>
  <c r="B38" i="120"/>
  <c r="D38" i="120" s="1"/>
  <c r="D37" i="120"/>
  <c r="B36" i="120"/>
  <c r="D36" i="120" s="1"/>
  <c r="B34" i="120"/>
  <c r="D34" i="120" s="1"/>
  <c r="D33" i="120"/>
  <c r="B28" i="120"/>
  <c r="D28" i="120" s="1"/>
  <c r="D19" i="120"/>
  <c r="B9" i="120"/>
  <c r="B32" i="120" s="1"/>
  <c r="D32" i="120" s="1"/>
  <c r="D30" i="120" l="1"/>
  <c r="B29" i="120"/>
  <c r="D29" i="120" s="1"/>
  <c r="B18" i="120"/>
  <c r="D18" i="120" s="1"/>
  <c r="B24" i="120"/>
  <c r="D24" i="120" s="1"/>
  <c r="B20" i="120"/>
  <c r="D20" i="120" s="1"/>
  <c r="B23" i="120"/>
  <c r="D23" i="120" s="1"/>
  <c r="D31" i="120"/>
  <c r="B22" i="120"/>
  <c r="D22" i="120" s="1"/>
  <c r="D25" i="120"/>
  <c r="D26" i="120"/>
  <c r="B21" i="120"/>
  <c r="D21" i="120" s="1"/>
  <c r="B32" i="119"/>
  <c r="D32" i="119" s="1"/>
  <c r="B24" i="119"/>
  <c r="D24" i="119" s="1"/>
  <c r="B23" i="119"/>
  <c r="D23" i="119" s="1"/>
  <c r="D41" i="120" l="1"/>
  <c r="B26" i="118"/>
  <c r="B14" i="119" l="1"/>
  <c r="B15" i="119"/>
  <c r="B35" i="119"/>
  <c r="B31" i="119"/>
  <c r="D31" i="119" s="1"/>
  <c r="B30" i="119"/>
  <c r="D30" i="119" s="1"/>
  <c r="B29" i="119"/>
  <c r="D29" i="119" s="1"/>
  <c r="B33" i="119"/>
  <c r="D33" i="119" s="1"/>
  <c r="B25" i="119"/>
  <c r="D25" i="119" s="1"/>
  <c r="B28" i="119"/>
  <c r="D28" i="119" s="1"/>
  <c r="B27" i="119"/>
  <c r="D27" i="119" s="1"/>
  <c r="D35" i="119" l="1"/>
  <c r="B22" i="119"/>
  <c r="D22" i="119" s="1"/>
  <c r="B21" i="119"/>
  <c r="D21" i="119" s="1"/>
  <c r="B20" i="119"/>
  <c r="D20" i="119" s="1"/>
  <c r="B19" i="119"/>
  <c r="D19" i="119" s="1"/>
  <c r="B18" i="119"/>
  <c r="D18" i="119" s="1"/>
  <c r="B16" i="119"/>
  <c r="D15" i="119"/>
  <c r="D14" i="119"/>
  <c r="B26" i="119" l="1"/>
  <c r="D26" i="119" s="1"/>
  <c r="D16" i="119"/>
  <c r="B17" i="119"/>
  <c r="D17" i="119" s="1"/>
  <c r="D33" i="118"/>
  <c r="D34" i="118"/>
  <c r="B36" i="118"/>
  <c r="D36" i="118" s="1"/>
  <c r="B35" i="118"/>
  <c r="D35" i="118" s="1"/>
  <c r="B34" i="118"/>
  <c r="B32" i="118"/>
  <c r="D32" i="118" s="1"/>
  <c r="B30" i="118"/>
  <c r="D30" i="118" s="1"/>
  <c r="B29" i="118"/>
  <c r="D29" i="118" s="1"/>
  <c r="D28" i="118"/>
  <c r="D36" i="119" l="1"/>
  <c r="D16" i="118"/>
  <c r="D27" i="118" l="1"/>
  <c r="B31" i="118"/>
  <c r="D31" i="118" s="1"/>
  <c r="B21" i="118"/>
  <c r="D21" i="118" s="1"/>
  <c r="B20" i="118"/>
  <c r="D20" i="118" s="1"/>
  <c r="D19" i="118"/>
  <c r="B17" i="118"/>
  <c r="D17" i="118" s="1"/>
  <c r="D22" i="118"/>
  <c r="D15" i="118"/>
  <c r="D26" i="118"/>
  <c r="D18" i="118"/>
  <c r="D37" i="118" l="1"/>
  <c r="B36" i="116" l="1"/>
  <c r="B35" i="116"/>
  <c r="D35" i="116" s="1"/>
  <c r="B34" i="116"/>
  <c r="D34" i="116" s="1"/>
  <c r="D36" i="116"/>
  <c r="B21" i="116"/>
  <c r="D21" i="116" s="1"/>
  <c r="B20" i="116"/>
  <c r="B24" i="116"/>
  <c r="D24" i="116" s="1"/>
  <c r="B33" i="116"/>
  <c r="D33" i="116" s="1"/>
  <c r="B32" i="116"/>
  <c r="D32" i="116" s="1"/>
  <c r="B31" i="116"/>
  <c r="D31" i="116" s="1"/>
  <c r="B29" i="116"/>
  <c r="D29" i="116" s="1"/>
  <c r="B27" i="116"/>
  <c r="D27" i="116" s="1"/>
  <c r="B26" i="116"/>
  <c r="D26" i="116" s="1"/>
  <c r="B25" i="116"/>
  <c r="D25" i="116" s="1"/>
  <c r="B22" i="116"/>
  <c r="D22" i="116" s="1"/>
  <c r="D20" i="116"/>
  <c r="B18" i="116"/>
  <c r="D18" i="116" s="1"/>
  <c r="B17" i="116"/>
  <c r="D17" i="116" s="1"/>
  <c r="B16" i="116"/>
  <c r="D16" i="116" s="1"/>
  <c r="B15" i="116"/>
  <c r="D15" i="116" s="1"/>
  <c r="B14" i="116"/>
  <c r="D14" i="116" s="1"/>
  <c r="B13" i="116"/>
  <c r="D13" i="116" s="1"/>
  <c r="B10" i="116"/>
  <c r="B28" i="116" s="1"/>
  <c r="D28" i="116" s="1"/>
  <c r="B39" i="116" l="1"/>
  <c r="B40" i="116" s="1"/>
  <c r="D40" i="116" s="1"/>
  <c r="B19" i="116"/>
  <c r="D19" i="116" s="1"/>
  <c r="B23" i="116"/>
  <c r="D23" i="116" s="1"/>
  <c r="B30" i="116"/>
  <c r="D30" i="116" s="1"/>
  <c r="D39" i="116"/>
  <c r="B46" i="115"/>
  <c r="B44" i="115"/>
  <c r="D44" i="115" s="1"/>
  <c r="D46" i="115"/>
  <c r="B28" i="115"/>
  <c r="D28" i="115" s="1"/>
  <c r="D64" i="115"/>
  <c r="D63" i="115"/>
  <c r="B59" i="115"/>
  <c r="D59" i="115" s="1"/>
  <c r="B57" i="115"/>
  <c r="B58" i="115" s="1"/>
  <c r="D58" i="115" s="1"/>
  <c r="B56" i="115"/>
  <c r="D56" i="115" s="1"/>
  <c r="B54" i="115"/>
  <c r="D54" i="115" s="1"/>
  <c r="B52" i="115"/>
  <c r="D52" i="115" s="1"/>
  <c r="B51" i="115"/>
  <c r="D51" i="115" s="1"/>
  <c r="B50" i="115"/>
  <c r="D50" i="115" s="1"/>
  <c r="B49" i="115"/>
  <c r="B60" i="115" s="1"/>
  <c r="D60" i="115" s="1"/>
  <c r="B38" i="115"/>
  <c r="D38" i="115" s="1"/>
  <c r="B37" i="115"/>
  <c r="D37" i="115" s="1"/>
  <c r="B36" i="115"/>
  <c r="D36" i="115" s="1"/>
  <c r="B35" i="115"/>
  <c r="D35" i="115" s="1"/>
  <c r="B34" i="115"/>
  <c r="D34" i="115" s="1"/>
  <c r="B33" i="115"/>
  <c r="D33" i="115" s="1"/>
  <c r="B22" i="115"/>
  <c r="D22" i="115" s="1"/>
  <c r="B17" i="115"/>
  <c r="B55" i="115" s="1"/>
  <c r="D55" i="115" s="1"/>
  <c r="B16" i="115"/>
  <c r="B45" i="115" l="1"/>
  <c r="D45" i="115" s="1"/>
  <c r="B25" i="115"/>
  <c r="D25" i="115" s="1"/>
  <c r="B39" i="115"/>
  <c r="D39" i="115" s="1"/>
  <c r="B27" i="115"/>
  <c r="D27" i="115" s="1"/>
  <c r="B41" i="115"/>
  <c r="D41" i="115" s="1"/>
  <c r="B43" i="115"/>
  <c r="D43" i="115" s="1"/>
  <c r="B21" i="115"/>
  <c r="D21" i="115" s="1"/>
  <c r="B31" i="115"/>
  <c r="D31" i="115" s="1"/>
  <c r="B32" i="115"/>
  <c r="D32" i="115" s="1"/>
  <c r="B23" i="115"/>
  <c r="D23" i="115" s="1"/>
  <c r="B20" i="115"/>
  <c r="D20" i="115" s="1"/>
  <c r="B24" i="115"/>
  <c r="D24" i="115" s="1"/>
  <c r="B29" i="115"/>
  <c r="D29" i="115" s="1"/>
  <c r="B40" i="115"/>
  <c r="D40" i="115" s="1"/>
  <c r="B42" i="115"/>
  <c r="D42" i="115" s="1"/>
  <c r="B53" i="115"/>
  <c r="D53" i="115" s="1"/>
  <c r="D49" i="115"/>
  <c r="D57" i="115"/>
  <c r="B26" i="115"/>
  <c r="D26" i="115" s="1"/>
  <c r="B30" i="115"/>
  <c r="D30" i="115" s="1"/>
  <c r="B31" i="10"/>
  <c r="D31" i="10" s="1"/>
  <c r="B30" i="10"/>
  <c r="D30" i="10" s="1"/>
  <c r="B32" i="10"/>
  <c r="D32" i="10" s="1"/>
  <c r="B29" i="10"/>
  <c r="D29" i="10" s="1"/>
  <c r="B36" i="9"/>
  <c r="D36" i="9" s="1"/>
  <c r="B35" i="9"/>
  <c r="D35" i="9" s="1"/>
  <c r="B38" i="10"/>
  <c r="D38" i="10" s="1"/>
  <c r="B43" i="9"/>
  <c r="D43" i="9" s="1"/>
  <c r="B42" i="9"/>
  <c r="D42" i="9" s="1"/>
  <c r="B36" i="10"/>
  <c r="D36" i="10" s="1"/>
  <c r="B37" i="10"/>
  <c r="D37" i="10" s="1"/>
  <c r="B35" i="10"/>
  <c r="D35" i="10" s="1"/>
  <c r="B34" i="10"/>
  <c r="D34" i="10" s="1"/>
  <c r="B39" i="9"/>
  <c r="B20" i="10"/>
  <c r="D20" i="10" s="1"/>
  <c r="B21" i="10"/>
  <c r="D21" i="10" s="1"/>
  <c r="B22" i="10"/>
  <c r="B12" i="10"/>
  <c r="B13" i="10" s="1"/>
  <c r="B16" i="10" s="1"/>
  <c r="B41" i="9"/>
  <c r="D41" i="9" s="1"/>
  <c r="B34" i="9"/>
  <c r="D34" i="9" s="1"/>
  <c r="B51" i="9"/>
  <c r="B40" i="9"/>
  <c r="B37" i="9"/>
  <c r="D37" i="9" s="1"/>
  <c r="D65" i="115" l="1"/>
  <c r="B33" i="10"/>
  <c r="D33" i="10" s="1"/>
  <c r="B19" i="10"/>
  <c r="B28" i="10"/>
  <c r="D28" i="10" s="1"/>
  <c r="B33" i="9"/>
  <c r="B15" i="9"/>
  <c r="B38" i="9" l="1"/>
  <c r="B32" i="9"/>
  <c r="B18" i="9"/>
  <c r="B21" i="9"/>
  <c r="C37" i="8" l="1"/>
  <c r="E37" i="8" s="1"/>
  <c r="E29" i="8" l="1"/>
  <c r="E27" i="8"/>
  <c r="C35" i="8" l="1"/>
  <c r="E35" i="8" s="1"/>
  <c r="C38" i="8"/>
  <c r="C36" i="8"/>
  <c r="E36" i="8" s="1"/>
  <c r="E34" i="8"/>
  <c r="E38" i="8" l="1"/>
  <c r="B30" i="9" l="1"/>
  <c r="D30" i="9" s="1"/>
  <c r="B26" i="10"/>
  <c r="D26" i="10" s="1"/>
  <c r="B23" i="10"/>
  <c r="D23" i="10" s="1"/>
  <c r="D22" i="10"/>
  <c r="B24" i="10"/>
  <c r="D24" i="10" s="1"/>
  <c r="B25" i="10"/>
  <c r="D25" i="10" s="1"/>
  <c r="B27" i="10"/>
  <c r="D27" i="10" s="1"/>
  <c r="B41" i="10"/>
  <c r="D41" i="10" s="1"/>
  <c r="B42" i="10"/>
  <c r="D42" i="10" s="1"/>
  <c r="B40" i="10"/>
  <c r="D40" i="10" s="1"/>
  <c r="D16" i="10"/>
  <c r="B17" i="10"/>
  <c r="D17" i="10" s="1"/>
  <c r="D32" i="9"/>
  <c r="B31" i="9"/>
  <c r="D31" i="9" s="1"/>
  <c r="B24" i="9"/>
  <c r="D24" i="9" s="1"/>
  <c r="B45" i="9"/>
  <c r="D45" i="9" s="1"/>
  <c r="D51" i="9"/>
  <c r="B48" i="9"/>
  <c r="B49" i="9"/>
  <c r="D49" i="9" s="1"/>
  <c r="B27" i="9"/>
  <c r="D27" i="9" s="1"/>
  <c r="B26" i="9"/>
  <c r="D26" i="9" s="1"/>
  <c r="B19" i="9"/>
  <c r="D19" i="9" s="1"/>
  <c r="B44" i="9"/>
  <c r="D44" i="9" s="1"/>
  <c r="B46" i="9"/>
  <c r="D46" i="9" s="1"/>
  <c r="B47" i="9"/>
  <c r="D47" i="9" s="1"/>
  <c r="D40" i="9"/>
  <c r="D39" i="9"/>
  <c r="D33" i="9"/>
  <c r="B28" i="9"/>
  <c r="D28" i="9" s="1"/>
  <c r="B22" i="9"/>
  <c r="B23" i="9" s="1"/>
  <c r="D23" i="9" s="1"/>
  <c r="B20" i="9"/>
  <c r="D20" i="9" s="1"/>
  <c r="D18" i="9"/>
  <c r="E33" i="8"/>
  <c r="E32" i="8"/>
  <c r="E31" i="8"/>
  <c r="E30" i="8"/>
  <c r="E26" i="8"/>
  <c r="E25" i="8"/>
  <c r="E23" i="8"/>
  <c r="E22" i="8"/>
  <c r="E19" i="8"/>
  <c r="C17" i="8"/>
  <c r="E17" i="8" s="1"/>
  <c r="D19" i="10" l="1"/>
  <c r="B18" i="10"/>
  <c r="D18" i="10" s="1"/>
  <c r="D43" i="10" s="1"/>
  <c r="D21" i="9"/>
  <c r="D38" i="9"/>
  <c r="B25" i="9"/>
  <c r="D25" i="9" s="1"/>
  <c r="D22" i="9"/>
  <c r="B29" i="9"/>
  <c r="D29" i="9" s="1"/>
  <c r="E16" i="8"/>
  <c r="E18" i="8"/>
  <c r="E21" i="8"/>
  <c r="E20" i="8"/>
  <c r="B50" i="9"/>
  <c r="D50" i="9" s="1"/>
  <c r="D48" i="9"/>
  <c r="D52" i="9" l="1"/>
  <c r="E39" i="8"/>
  <c r="E59" i="134"/>
  <c r="E74" i="134" s="1"/>
</calcChain>
</file>

<file path=xl/sharedStrings.xml><?xml version="1.0" encoding="utf-8"?>
<sst xmlns="http://schemas.openxmlformats.org/spreadsheetml/2006/main" count="4072" uniqueCount="994">
  <si>
    <t>Кол-во</t>
  </si>
  <si>
    <t>Высота (м)</t>
  </si>
  <si>
    <t>Кол-во (шт)</t>
  </si>
  <si>
    <t>Красные графы обязательны для заполнения!!!</t>
  </si>
  <si>
    <t>Цена</t>
  </si>
  <si>
    <t>Наименование</t>
  </si>
  <si>
    <t>Ширина (м)</t>
  </si>
  <si>
    <t>Товар (деталь)</t>
  </si>
  <si>
    <t>Сумма</t>
  </si>
  <si>
    <t>Итого</t>
  </si>
  <si>
    <t>Ширина  (м)</t>
  </si>
  <si>
    <t>Крепление на шурупы (Базовая комплектация)</t>
  </si>
  <si>
    <t>Кол-во в упаковке</t>
  </si>
  <si>
    <t>кол-во</t>
  </si>
  <si>
    <t xml:space="preserve">Короб белый UNI </t>
  </si>
  <si>
    <t xml:space="preserve">Крышка нижняя боковая, белая UNI </t>
  </si>
  <si>
    <t xml:space="preserve">Направляющая 34мм, белая UNI </t>
  </si>
  <si>
    <t xml:space="preserve">Планка нижняя стальная, белая </t>
  </si>
  <si>
    <t xml:space="preserve">Лента клейкая двусторонняя, 9мм, белая </t>
  </si>
  <si>
    <t xml:space="preserve">Лента клейкая д/трубы 12мм </t>
  </si>
  <si>
    <t xml:space="preserve">Пластиковая полоса-фиксатор клейкая 7мм </t>
  </si>
  <si>
    <t xml:space="preserve">Уплотнитель нижней планки, белый UNI </t>
  </si>
  <si>
    <t>Дополнительная комплектация</t>
  </si>
  <si>
    <t xml:space="preserve">Плитка подкладочная белая, пара UNI </t>
  </si>
  <si>
    <t xml:space="preserve">Доп профиль белый UNI </t>
  </si>
  <si>
    <r>
      <t>Лента клейкая двусторонняя, 9мм, белая (</t>
    </r>
    <r>
      <rPr>
        <sz val="8"/>
        <color indexed="10"/>
        <rFont val="Arial Cyr"/>
        <family val="2"/>
        <charset val="204"/>
      </rPr>
      <t>дополнительно</t>
    </r>
    <r>
      <rPr>
        <sz val="8"/>
        <rFont val="Arial Cyr"/>
        <charset val="204"/>
      </rPr>
      <t>)</t>
    </r>
  </si>
  <si>
    <t>Итого сумма</t>
  </si>
  <si>
    <t>Направляющая тип "С", белая UNI</t>
  </si>
  <si>
    <t>Цена одинакова на белую и коричневую комплектацию</t>
  </si>
  <si>
    <t>Не изменять</t>
  </si>
  <si>
    <t>-</t>
  </si>
  <si>
    <t>Боковая фиксация (леска)</t>
  </si>
  <si>
    <t>Тип установки</t>
  </si>
  <si>
    <t>0 - нет, 1 - да</t>
  </si>
  <si>
    <t>1 - саморезы; 2 - скотч; 
3 - кронштейны ПВХ</t>
  </si>
  <si>
    <t>Крепление на скотч</t>
  </si>
  <si>
    <t>Тип размера по ширине</t>
  </si>
  <si>
    <t>1 - по ткани; 2 - по ГИ</t>
  </si>
  <si>
    <t>Магниты</t>
  </si>
  <si>
    <t>Уплотнитель нижней планки, м</t>
  </si>
  <si>
    <t>Леска 0,7 мм, м</t>
  </si>
  <si>
    <t>Направляющая лески, шт.</t>
  </si>
  <si>
    <t>Кронштейн для окон ПВХ верхний, белый MINI, шт.</t>
  </si>
  <si>
    <t>Кронштейн нижний, шт.</t>
  </si>
  <si>
    <t>Платформа для скотча MINI, шт.</t>
  </si>
  <si>
    <t>Скотч для UNI/MINI, шт.</t>
  </si>
  <si>
    <t>Магнит под шуруп 10x3 мм, шт.</t>
  </si>
  <si>
    <t>Шуруп 3x10  под магнит, шт.</t>
  </si>
  <si>
    <t>Полоса магнитная, м</t>
  </si>
  <si>
    <t>Пластиковая полоса-фиксатор клейкая 7мм, м</t>
  </si>
  <si>
    <t>Лента клейкая д/трубы 12мм, м</t>
  </si>
  <si>
    <t>Планка нижняя, м</t>
  </si>
  <si>
    <t>Крышка нижняя боковая, шт.</t>
  </si>
  <si>
    <t>Количество изделий, шт.</t>
  </si>
  <si>
    <t>Наклонные</t>
  </si>
  <si>
    <t>Наклонные (трос)</t>
  </si>
  <si>
    <t>Держатель НК</t>
  </si>
  <si>
    <t>Валанс</t>
  </si>
  <si>
    <t>ПВХ</t>
  </si>
  <si>
    <t>ПВХ кронштейны</t>
  </si>
  <si>
    <t>Ширина ламели (25 или 16)</t>
  </si>
  <si>
    <t>16 или 25</t>
  </si>
  <si>
    <t xml:space="preserve">Количество лесенок(суппортов), шт. </t>
  </si>
  <si>
    <t>Ключ для крепления к окнам ПВХ, шт.</t>
  </si>
  <si>
    <t>Болт для кронштейна ПВХ, шт.</t>
  </si>
  <si>
    <t>Веревка 1.2 мм, м</t>
  </si>
  <si>
    <t>Держатель нижнего карниза, шт.</t>
  </si>
  <si>
    <t>Заглушка, шт.</t>
  </si>
  <si>
    <t>Карниз верхний 25х24, м</t>
  </si>
  <si>
    <t>Карниз нижний, м</t>
  </si>
  <si>
    <t>Клипс для ленты 16 мм, м</t>
  </si>
  <si>
    <t>Клипс для ленты 25 мм, м</t>
  </si>
  <si>
    <t>Кронштейн, шт.</t>
  </si>
  <si>
    <t>Кронштейн для горизонтального валанса, шт.</t>
  </si>
  <si>
    <t>Крышка боковая верхняя, шт.</t>
  </si>
  <si>
    <t>Крышка боковая нижняя, шт.</t>
  </si>
  <si>
    <t>Лесенка 12.5x18 16 мм, м</t>
  </si>
  <si>
    <t>Лесенка 21.5x28 25 мм, м</t>
  </si>
  <si>
    <t>Кольцо стопорное с винтом, шт.</t>
  </si>
  <si>
    <t>Кронштейн нижний тип В пластмассовый, шт.</t>
  </si>
  <si>
    <t>Пружина, шт.</t>
  </si>
  <si>
    <t>Трос металлический, м</t>
  </si>
  <si>
    <t>Кронштейн для окон ПВХ верхний, шт.</t>
  </si>
  <si>
    <t>Кронштейн для окон ПВХ нижний, шт.</t>
  </si>
  <si>
    <t>Расчет стоимости 1"</t>
  </si>
  <si>
    <t>Артикул</t>
  </si>
  <si>
    <t xml:space="preserve">Количество несущих отверстий, шт. </t>
  </si>
  <si>
    <t xml:space="preserve">Количество суппортов, шт. </t>
  </si>
  <si>
    <t>Полоса (кол-во ламелей), шт.</t>
  </si>
  <si>
    <t>Валанс, шт.</t>
  </si>
  <si>
    <t>Нижний карниз, шт.</t>
  </si>
  <si>
    <t>Профили</t>
  </si>
  <si>
    <t>Веревка 1.4 мм, м</t>
  </si>
  <si>
    <t>Лесенка 21.5x30, м</t>
  </si>
  <si>
    <t>Клипс на полосу 1", прозрачный, шт.</t>
  </si>
  <si>
    <t>Кронштейн боковой для 1", металлический, шт.</t>
  </si>
  <si>
    <t>Кронштейн центральный для 1", металлический, шт.</t>
  </si>
  <si>
    <t>Крышка боковая для 1", металлическая, шт.</t>
  </si>
  <si>
    <t>Заглушка в ниж карниз (бамбук или дерево), шт.</t>
  </si>
  <si>
    <t>Дополнительная комплектация UNI 1 на скотч, шт.</t>
  </si>
  <si>
    <t xml:space="preserve"> </t>
  </si>
  <si>
    <t>1 - да, 0 - нет</t>
  </si>
  <si>
    <t>Установка на скотч</t>
  </si>
  <si>
    <t>Отвес нижний для зебры UNI 10мм</t>
  </si>
  <si>
    <t xml:space="preserve">Шуруп 3*12мм </t>
  </si>
  <si>
    <t>Профиль дополнительный для UNI зебра</t>
  </si>
  <si>
    <t>Плитка подкладочная белая, пара UNI</t>
  </si>
  <si>
    <t>Направляющая плоская, белая UNI</t>
  </si>
  <si>
    <t>Трубка нижняя 12мм, зебра</t>
  </si>
  <si>
    <t>Скотч 30х15 для зебры</t>
  </si>
  <si>
    <t>Защелка для кронштейна накидного, регулируемого</t>
  </si>
  <si>
    <t>Кронштейн накидной, регулируемый</t>
  </si>
  <si>
    <t>Заглушка для трубки нижней 12мм прозрачная, зебра</t>
  </si>
  <si>
    <t>Профиль дополнительный зебра</t>
  </si>
  <si>
    <t>Заглушка для профиля дополнительного зебра</t>
  </si>
  <si>
    <t>Крышка нижняя для боковой напрявляющей, белый, пара</t>
  </si>
  <si>
    <t>Итого:</t>
  </si>
  <si>
    <t>Заглушка нижней рейки</t>
  </si>
  <si>
    <t>Полоса-фиксатор 9мм</t>
  </si>
  <si>
    <t>Пластиковая полоса-фиксатор клейкая 7мм</t>
  </si>
  <si>
    <t>Механизм упр. цепь кассеты 45, левый (комплект)</t>
  </si>
  <si>
    <t>Механизм упр. цепь кассеты 45, правый (комплект)</t>
  </si>
  <si>
    <t>ДАННЫЙ РАСЧЕТ ПРЕДНАЗНАЧЕН ТОЛЬКО(!) ДЛЯ ОПРЕДЕЛЕНИЯ ОБЪЕМА И СТОИМОСТИ ЗАКАЗА КОМПЛЕКТУЮЩИХ</t>
  </si>
  <si>
    <t>Кол-во изделий, шт.</t>
  </si>
  <si>
    <t>Застежка самокл.белая 25мм loop</t>
  </si>
  <si>
    <t>Полная ширина изделия</t>
  </si>
  <si>
    <t>Кронштейн промежуточный 45</t>
  </si>
  <si>
    <t>Кол-во полотен ткани в изделии, шт.</t>
  </si>
  <si>
    <t>2 или 3</t>
  </si>
  <si>
    <t>Кронштейн соединительный 45</t>
  </si>
  <si>
    <t>Необходимое кол-во зарядных устройств (шт.)</t>
  </si>
  <si>
    <t>Базовая комплектация</t>
  </si>
  <si>
    <t>Расчет стоимости UNI c ЭП</t>
  </si>
  <si>
    <t>Расчет стоимости MINI c ЭП</t>
  </si>
  <si>
    <t>Платформа для скотча MINI-зебра, шт.</t>
  </si>
  <si>
    <t>Направляющая лески прозрачная, зебра, шт.</t>
  </si>
  <si>
    <t>Кронштейн нижн д/бок. фикс. MINI Зебра, белый</t>
  </si>
  <si>
    <t>Тип кронштейна нижнего</t>
  </si>
  <si>
    <t>1 - металл., 2 - пластик.</t>
  </si>
  <si>
    <t>Комплект для моторизации 35</t>
  </si>
  <si>
    <t>Комплект для моторизации 45</t>
  </si>
  <si>
    <t>Переходник DH36 на октогональный вал</t>
  </si>
  <si>
    <t>Адаптер DL44 для октогонального вала</t>
  </si>
  <si>
    <t>Необходимое кол-во зарядных устройств, шт.</t>
  </si>
  <si>
    <t>Необходимое кол-во пультов ДУ (шт.)</t>
  </si>
  <si>
    <t>Пульт ДУ</t>
  </si>
  <si>
    <t>Необходимое кол-во пультов ДУ, шт.</t>
  </si>
  <si>
    <t>Необходимое кол-во кнопок управления, шт.</t>
  </si>
  <si>
    <t>Кнопка управления</t>
  </si>
  <si>
    <t>С потолочным кронштейном и ЭП слева</t>
  </si>
  <si>
    <t>Кол-во кассет 32 мм с трубой 35 без тканевой вставки, шт.</t>
  </si>
  <si>
    <t>Кол-во кассет 32 мм с трубой 35 с тканевой вставкой, шт.</t>
  </si>
  <si>
    <t>Кол-во кассет 45 мм с трубой 45 без тканевой вставки, шт.</t>
  </si>
  <si>
    <t>Кол-во кассет 45 мм с трубой 45 с тканевой вставкой, шт.</t>
  </si>
  <si>
    <t xml:space="preserve">   Из них кол-во кассет 45 мм со стеновым кронштейном, шт.</t>
  </si>
  <si>
    <t xml:space="preserve">   Из них кол-во изделий с ЭП справа</t>
  </si>
  <si>
    <t xml:space="preserve">   Из них кол-во кассет 32 мм с трубой 35  со стеновым кронштейном, шт.</t>
  </si>
  <si>
    <t>Количество изделий со встроенным радиоприемником, шт.</t>
  </si>
  <si>
    <t>Зажим лесенки (ГКС), шт.</t>
  </si>
  <si>
    <t>Стержень поворотный шестигранный ГКС, м</t>
  </si>
  <si>
    <t>Шнуронамотка DS391B, шт.</t>
  </si>
  <si>
    <t>Расчет стоимости Holis, Волна с ЭП</t>
  </si>
  <si>
    <t>Количество изделий с ламелями Волна 35 мм</t>
  </si>
  <si>
    <t>Пульт ДУ, шт.</t>
  </si>
  <si>
    <t>Кронштейн нижний пластиковый для лески, шт.</t>
  </si>
  <si>
    <t>Кольцо стопорное для лески, шт.</t>
  </si>
  <si>
    <t>Блок-подкладка для Волны, шт.</t>
  </si>
  <si>
    <t>Привод DV24DH/L-1.2/45, 12В, МК, срединный, шт.</t>
  </si>
  <si>
    <t>Привод DV24CF/L-1.2/45, 12В, ЭК, IC, срединный, шт.</t>
  </si>
  <si>
    <t>Шпиндельная блокировка DS456, шт.</t>
  </si>
  <si>
    <t>Зажим для мотора в карниз 25x24мм DS440, шт.</t>
  </si>
  <si>
    <t>Кольцо стопорное DS406, шт.</t>
  </si>
  <si>
    <t>Блок питания DC240, 12В, шт.</t>
  </si>
  <si>
    <t>Кнопка управления, шт.</t>
  </si>
  <si>
    <t>Магнит д/валанса 1", шт.</t>
  </si>
  <si>
    <t>Шуруп 3*10мм под магнит, шт.</t>
  </si>
  <si>
    <t>Держатель магнита д/валанса 1", шт.</t>
  </si>
  <si>
    <t>Расчет стоимости P190x</t>
  </si>
  <si>
    <t>Ширина, м</t>
  </si>
  <si>
    <t>Высота, м</t>
  </si>
  <si>
    <t>Количество изделий P1900, шт.</t>
  </si>
  <si>
    <t>Количество изделий P1902, шт.</t>
  </si>
  <si>
    <t>Количество изделий P1905, шт.</t>
  </si>
  <si>
    <t>Крепление</t>
  </si>
  <si>
    <t>Кронштейн потолочный</t>
  </si>
  <si>
    <t>Кронштейн стеновой малый</t>
  </si>
  <si>
    <t>Кронштейн стеновой стандартный</t>
  </si>
  <si>
    <t xml:space="preserve">Количество отверстий, шт. </t>
  </si>
  <si>
    <t>Суммарное количество изделий</t>
  </si>
  <si>
    <t>Профиль под мотор 34х27</t>
  </si>
  <si>
    <t>Профиль натяжения 16х22, м</t>
  </si>
  <si>
    <t>Профиль плоский 10х20, м</t>
  </si>
  <si>
    <t>Профиль маскировочный 16мм, м</t>
  </si>
  <si>
    <t>Полоса пластиковая самоклеящаяся 16мм, прозрачная</t>
  </si>
  <si>
    <t>Стержень поворотный шестигранный (ГКС), 5мм (Venus)</t>
  </si>
  <si>
    <t>Вставка в профиль под мотор</t>
  </si>
  <si>
    <t>SOMFY CTS 25 шнуронамотка 110мм</t>
  </si>
  <si>
    <t>SOMFY CTS 25 шнуронамотка 70мм</t>
  </si>
  <si>
    <t>Зажим для мотора</t>
  </si>
  <si>
    <t>Крышка д/проф под мотор 34х27, шт.</t>
  </si>
  <si>
    <t>Крышка д/проф под мотор 34х27 с напр., шт.</t>
  </si>
  <si>
    <t>Крышка д/проф натяжного 16х22, шт.</t>
  </si>
  <si>
    <t>Крышка д/проф натяжного 16х22 с направляющей, шт.</t>
  </si>
  <si>
    <t>Крышка д/проф плоского 10х20 откр, шт.</t>
  </si>
  <si>
    <t>Кронштейн подоконный для шнура, шт.</t>
  </si>
  <si>
    <t>Суппорт, шт.</t>
  </si>
  <si>
    <t>Натяжитель шнура для профиля натяжения</t>
  </si>
  <si>
    <t>Зажим на вал, шт</t>
  </si>
  <si>
    <t>Шнур 1,2мм, м</t>
  </si>
  <si>
    <t>Прижим ткани, шт.</t>
  </si>
  <si>
    <t>Опора кронштейна подоконного, шт.</t>
  </si>
  <si>
    <t>Кронштейн стеновой малый, шт.</t>
  </si>
  <si>
    <t>Гайка для стенового кронштейна, шт.</t>
  </si>
  <si>
    <t>Кронштейн стеновой стандарт, шт.</t>
  </si>
  <si>
    <t>Кронштейн стеновой стандарт в сборе 27 мм, шт.</t>
  </si>
  <si>
    <t>Кронштейн стеновой стандарт в сборе 20 мм, шт.</t>
  </si>
  <si>
    <t>Кронштейн потолочный, овал, 27мм, шт.</t>
  </si>
  <si>
    <t>Кронштейн потолочный, овал, 20мм., шт.</t>
  </si>
  <si>
    <t>Гайка M3 DIN934, шт.</t>
  </si>
  <si>
    <t>Винт M3x6, шт.</t>
  </si>
  <si>
    <t>Саморез, 3,6x6,5, шт.</t>
  </si>
  <si>
    <t>Саморез, DIN7981 ZN 3.9x13, шт.</t>
  </si>
  <si>
    <t>Дополнительная комплектация (для P1905)</t>
  </si>
  <si>
    <t>Упор установочный, красный, шт.</t>
  </si>
  <si>
    <t>Ключ шестигранный 1,5мм, шт.</t>
  </si>
  <si>
    <t>Расчет стоимости P390x</t>
  </si>
  <si>
    <t>Профиль стандартный 16х22, м</t>
  </si>
  <si>
    <t>Крышка д/профиля стандартного 16х22, шт.</t>
  </si>
  <si>
    <t>Суппорт верхний, шт.</t>
  </si>
  <si>
    <t>Кронштейн боковой кассеты 32 мм для автостопа</t>
  </si>
  <si>
    <t>Комплект для моторизации UNI белый</t>
  </si>
  <si>
    <t>Комплект для моторизации MINI белый, шт.</t>
  </si>
  <si>
    <t>Комплект для моторизации MINI ЗЕБРА белый</t>
  </si>
  <si>
    <t>Привод DV24CFQ/L-0.8/34, 12В, ЭК, IC, срединный</t>
  </si>
  <si>
    <t>Кронштейн потолочный для карниза тип S</t>
  </si>
  <si>
    <t>Крючок для подвеса ткани</t>
  </si>
  <si>
    <t>Соединитель ремня</t>
  </si>
  <si>
    <t>Кронштейн стеновой двухрядный</t>
  </si>
  <si>
    <t>Кронштейн стеновой однорядный</t>
  </si>
  <si>
    <t>Ремень, 100кг</t>
  </si>
  <si>
    <t>Соединитель карнизов</t>
  </si>
  <si>
    <t>Приводы</t>
  </si>
  <si>
    <t>Привод шторный DT72EV-75/20</t>
  </si>
  <si>
    <t>Привод шторный DT72LE-1.2/20</t>
  </si>
  <si>
    <t>Привод шторный DT72TS-1.2/14</t>
  </si>
  <si>
    <t>Зарядное устройство DC731B для привода DT72LE</t>
  </si>
  <si>
    <t>Кол-во изделий с открытием от управл./
к управл., шт.</t>
  </si>
  <si>
    <t>Кол-во изделий с открытием от центра, шт.</t>
  </si>
  <si>
    <t>Расчет стоимости, 
карнизы шторные с ЭП</t>
  </si>
  <si>
    <t>Кол-во изделий с радиоуправл., шт.</t>
  </si>
  <si>
    <t>Кол-во изделий с проводным управл., шт.</t>
  </si>
  <si>
    <t>Кол-во изделий с радиоуправл. и АКБ, шт.</t>
  </si>
  <si>
    <t>Заглушка боковая без крышки</t>
  </si>
  <si>
    <t>Заглушка боковая с крышкой</t>
  </si>
  <si>
    <t>Соединитель карниза</t>
  </si>
  <si>
    <t>1 - да</t>
  </si>
  <si>
    <t>2 - нет</t>
  </si>
  <si>
    <t>Тип кронштейна</t>
  </si>
  <si>
    <t>1- потолочный тип S
2 - стеновой одноряд.
3 - стеновой двуряд.</t>
  </si>
  <si>
    <t>Расчет стоимости, 
римские шторы с ЭП</t>
  </si>
  <si>
    <t>1- стеновой/потолочный
2 - стеновой/потолочный пружинный</t>
  </si>
  <si>
    <t>1 - 3 мм</t>
  </si>
  <si>
    <t>2 - 5 мм</t>
  </si>
  <si>
    <t>Карниз для римской шторы</t>
  </si>
  <si>
    <t>Шнуронамотка с винтом</t>
  </si>
  <si>
    <t>Кольцо для римской шторы</t>
  </si>
  <si>
    <t>Кронштейн для римской шторы</t>
  </si>
  <si>
    <t>Кронштейн для римской шторы пружинный</t>
  </si>
  <si>
    <t>Стержень поворотный квадратный 5мм</t>
  </si>
  <si>
    <t>Утяжелитель ПВХ, 8x17мм</t>
  </si>
  <si>
    <t>Кольцо стопорное, квадрат 5мм</t>
  </si>
  <si>
    <t>Шнур 1.2 мм, универсальный, белый</t>
  </si>
  <si>
    <t>Зажим для мотора в римский карниз DS440F</t>
  </si>
  <si>
    <t>Адаптер для стержня квадратного 5мм DS440H</t>
  </si>
  <si>
    <t>Кол-во зарядных устройств, шт.</t>
  </si>
  <si>
    <t>Кол-во изделий с АКБ, шт.</t>
  </si>
  <si>
    <t>Блок питания DC943A</t>
  </si>
  <si>
    <t>Количество пультов ДУ, шт.</t>
  </si>
  <si>
    <t>Батарея аккумуляторная DC1326B</t>
  </si>
  <si>
    <t>Зарядное устройство DC264</t>
  </si>
  <si>
    <t>Карниз шторный, тип S</t>
  </si>
  <si>
    <t>Стопор шторный</t>
  </si>
  <si>
    <t>Фиксатор шторный</t>
  </si>
  <si>
    <t>Утяжелитель</t>
  </si>
  <si>
    <t>1 - ПВХ</t>
  </si>
  <si>
    <t>2 - алюминий</t>
  </si>
  <si>
    <t>Утяжелитель алюминий, 3x20мм</t>
  </si>
  <si>
    <t>0 - нет</t>
  </si>
  <si>
    <t>Бегунок поворотный GLYDEA</t>
  </si>
  <si>
    <t>Заглушка ответная GLYDEA</t>
  </si>
  <si>
    <t>Заглушка приводная GLYDEA</t>
  </si>
  <si>
    <t>Заглушка-мини ответная GLYDEA</t>
  </si>
  <si>
    <t>Каретка ведущая усиленная GLYDEA</t>
  </si>
  <si>
    <t>Карниз шторный GLYDEA</t>
  </si>
  <si>
    <t>Комплект установки привода GLYDEA сверху</t>
  </si>
  <si>
    <t>Кронштейн потолочный для ниш GLYDEA</t>
  </si>
  <si>
    <t>Кронштейн потолочный пружинный GLYDEA</t>
  </si>
  <si>
    <t>Кронштейн потолочный эксцентриковый GLYDEA</t>
  </si>
  <si>
    <t>Кронштейн стеновой рег. 117-151 мм однорядный</t>
  </si>
  <si>
    <t>Кронштейн стеновой рег. 223-250 мм двухрядный</t>
  </si>
  <si>
    <t>Соединитель карнизов GLYDEA</t>
  </si>
  <si>
    <t>Удлинитель каретки ответный (от центра) GLYDEA</t>
  </si>
  <si>
    <t>Необходимое кол-во комплектов
 для установки привода сверху, шт.</t>
  </si>
  <si>
    <t>Тип потолочного кронштейна</t>
  </si>
  <si>
    <t>1- потолочный для ниш
2 - потолочный пружинный
3 - потолочный эксцентрик.</t>
  </si>
  <si>
    <t>Тип стенового кронштейна</t>
  </si>
  <si>
    <t>Расчет стоимости, 
карнизы шторные Glydea с ЭП</t>
  </si>
  <si>
    <t>1- без стенового кронштейна 2 - стеновой рег. 117-151 мм
3 - стеновй рег. 223-250 мм</t>
  </si>
  <si>
    <t>Привод IRISMO WireFree 45 RTS</t>
  </si>
  <si>
    <t>Радиоприёмник GLYDEA RTS Receiver</t>
  </si>
  <si>
    <t>Зарядное устройство для АКБ Irismo Wirefire</t>
  </si>
  <si>
    <t>Привод GLYDEA 35e/60e (на усмотрение клиента) DCT</t>
  </si>
  <si>
    <t>Привод GLYDEA 35e/60e (на усмотрение клиента) WT</t>
  </si>
  <si>
    <t>Удлинитель каретки перекрывающий GLYDEA</t>
  </si>
  <si>
    <t>Крышка боковая в римский карниз</t>
  </si>
  <si>
    <t>Длина управления, м</t>
  </si>
  <si>
    <t>Кронштейн потолочный 48 мм</t>
  </si>
  <si>
    <t>Кронштейн стеновой в сборе 48мм, белый</t>
  </si>
  <si>
    <t>Кронштейн стеновой рег. 60-108 мм, 48мм, белый</t>
  </si>
  <si>
    <t>Кронштейн стеновой рег. 108-156 мм, 48мм, белый</t>
  </si>
  <si>
    <t>Кронштейн стеновой рег. 156-204 мм, 48мм, белый</t>
  </si>
  <si>
    <t xml:space="preserve">Тип ткани </t>
  </si>
  <si>
    <t>1 - плиссе; 2 - гофре</t>
  </si>
  <si>
    <t>Профиль под мотор 48 мм, м</t>
  </si>
  <si>
    <t>Профиль нижний 48 мм, м</t>
  </si>
  <si>
    <t>Профиль базовый 32 мм, м</t>
  </si>
  <si>
    <t>Лента клейкая 32мм, м</t>
  </si>
  <si>
    <t>Стержень поворотный шестигранный (ГКС), 5мм</t>
  </si>
  <si>
    <t>Зажим троса</t>
  </si>
  <si>
    <t>Кронштейн подоконный 48мм, комплект, белый</t>
  </si>
  <si>
    <t>Крышка боковая под мотор 48мм, белая</t>
  </si>
  <si>
    <t>Крышка боковая 48мм, белая</t>
  </si>
  <si>
    <t>Соединитель профиля 48мм</t>
  </si>
  <si>
    <t>Натяжитель шнура 48мм</t>
  </si>
  <si>
    <t>Кронштейн для шнура с петлями 48мм стандартный</t>
  </si>
  <si>
    <t>Шуруп для шнура с петлей 48мм</t>
  </si>
  <si>
    <t>Пружина 0,7х44</t>
  </si>
  <si>
    <t>Зажим на вал</t>
  </si>
  <si>
    <t>Шнур с петлями 48мм</t>
  </si>
  <si>
    <t>Кронштейн потолочный 48мм, белый</t>
  </si>
  <si>
    <t>Шайба для опоры, шт.</t>
  </si>
  <si>
    <t>Кол-во крепежа</t>
  </si>
  <si>
    <t>1 изд</t>
  </si>
  <si>
    <t>потол</t>
  </si>
  <si>
    <t>опоры</t>
  </si>
  <si>
    <t>Расчет стоимости P890x</t>
  </si>
  <si>
    <t>Количество изделий P8900, шт.</t>
  </si>
  <si>
    <t>Количество изделий P8905, шт.</t>
  </si>
  <si>
    <t>Привод DM35EW/Y, 220В, ЭК, IC</t>
  </si>
  <si>
    <t>Адаптер для приводов 230В, комплект 48мм</t>
  </si>
  <si>
    <t>Редуктор для электропривода 230В плиссе, 48мм</t>
  </si>
  <si>
    <t>Примерный расчет. Для некоторых размеров кол-во больше, чем нужно, на 1 шт.</t>
  </si>
  <si>
    <t>Шнур 1.2 мм</t>
  </si>
  <si>
    <t>Расчет стоимости P891x</t>
  </si>
  <si>
    <t>Количество изделий P8910, шт.</t>
  </si>
  <si>
    <t>Количество изделий P8915, шт.</t>
  </si>
  <si>
    <t>Примерный расчет. Общее кол-во верное, может быть расхождение по типу</t>
  </si>
  <si>
    <t>Примерный расчет. Для некоторых размеров кол-во больше, чем нужно, на 3 шт.</t>
  </si>
  <si>
    <t xml:space="preserve">Кронштейн </t>
  </si>
  <si>
    <t>0 - 36мм.</t>
  </si>
  <si>
    <t>1 - 41мм.</t>
  </si>
  <si>
    <t>Рейка LVT</t>
  </si>
  <si>
    <t>Рейка LVT c тканью.</t>
  </si>
  <si>
    <t>Лента уплотняющая 7мм</t>
  </si>
  <si>
    <t>Рейка нижняя аллюминий под полосу(LVT)</t>
  </si>
  <si>
    <t>Рейка нижняя аллюминий(LVT)</t>
  </si>
  <si>
    <t>Профиль монажный М, белый</t>
  </si>
  <si>
    <t>Адаптер 29-43 мм .М</t>
  </si>
  <si>
    <t>Саморез 2,9х6,5</t>
  </si>
  <si>
    <t>Трос металический</t>
  </si>
  <si>
    <t>Держатель троса, прозрачный</t>
  </si>
  <si>
    <t>Кронштейн нижний для троса М, белый к-кт</t>
  </si>
  <si>
    <t>Привод DM25TEQ/L-1.5/20,100-240B,ЭК,IC</t>
  </si>
  <si>
    <t>Привод DM25TE/L-1.5/32, 100-240В,ЭК, IC</t>
  </si>
  <si>
    <t xml:space="preserve">Привод DM25TE/S-1.5/32, с обратной связью </t>
  </si>
  <si>
    <t>Адаптер для привода DM25</t>
  </si>
  <si>
    <t>Привод DM25LE/L-1.1/40, 12В, ЭК, IC, АКБ</t>
  </si>
  <si>
    <t>Пластина для привода DM35</t>
  </si>
  <si>
    <t>Адаптер+переходник для DM35, трубы 44, 52мм</t>
  </si>
  <si>
    <t>Привод SONESSE 30 RTS 2/28 (радио) 24 В</t>
  </si>
  <si>
    <t>Адаптер+переходник для Somfy Sonesse, труба 43</t>
  </si>
  <si>
    <t>Привод SONESSE 30 DCT 2/28 24 В</t>
  </si>
  <si>
    <t>Привод SONESSE 30 WF RTS радио+АКБ 12В 2600 мАч</t>
  </si>
  <si>
    <t>Привод SONESSE 40 3/30 (провод ~230В) МК</t>
  </si>
  <si>
    <t>Привод SONESSE 40 6/20 (провод ~230В) МК</t>
  </si>
  <si>
    <t>Привод SONESSE 40 9/12 (провод ~230В) МК</t>
  </si>
  <si>
    <t>Пластина для привода Somfy LS40, труба 44</t>
  </si>
  <si>
    <t>Адаптер+переходник для Somfy LS40, труба 44</t>
  </si>
  <si>
    <t>Привод SONESSE 40 RTS 3/30 (радио ~230В) ЭК</t>
  </si>
  <si>
    <t>Привод SONESSE 40 RTS 6/20 (радио ~230В) ЭК</t>
  </si>
  <si>
    <t>Привод SONESSE 40 RTS 9/12 (радио ~230В) ЭК</t>
  </si>
  <si>
    <t>Изделий 43 мм , кол-во шт.</t>
  </si>
  <si>
    <t>Изделий 44 мм, кол-во шт.</t>
  </si>
  <si>
    <t>Тип монтажа</t>
  </si>
  <si>
    <t>0-потолок</t>
  </si>
  <si>
    <t>1-стена</t>
  </si>
  <si>
    <t>Изделий 43 мм, кол-во шт.</t>
  </si>
  <si>
    <t>Трубка 12 мм.</t>
  </si>
  <si>
    <t>Двойной отвес</t>
  </si>
  <si>
    <t>Заглушка для трубки нижней 12мм прозрачная,зебра</t>
  </si>
  <si>
    <t>Крышка боковая для отвеса двойного ЗЕБРА,к-кт</t>
  </si>
  <si>
    <t>Трубка нижняя белая 12 мм,зебра</t>
  </si>
  <si>
    <t>Рейка нижняя Зебра</t>
  </si>
  <si>
    <t>Заглушка в трубу 29 мм,подпружиненная М</t>
  </si>
  <si>
    <t>Кронштейн Г-образный</t>
  </si>
  <si>
    <t>Профиль кассеты лицевой квадратный М,белый</t>
  </si>
  <si>
    <t>Крышка кассеты левая М, белая</t>
  </si>
  <si>
    <t>Крышка кассеты правая М, белая</t>
  </si>
  <si>
    <t>Кронштейн для кассеты М с винтом, алюм., белый</t>
  </si>
  <si>
    <t>0- Нет</t>
  </si>
  <si>
    <t>1- Да</t>
  </si>
  <si>
    <t>Заглушка нижней рейки LVT</t>
  </si>
  <si>
    <t>Направляющие</t>
  </si>
  <si>
    <t>Изделий 52 мм , кол-во шт.</t>
  </si>
  <si>
    <t>Изделий 65 мм , кол-во шт.</t>
  </si>
  <si>
    <t>Изделий 52 мм с монтажным профилем, шт.</t>
  </si>
  <si>
    <t>Изделий 65 мм с монтажным профилем, шт.</t>
  </si>
  <si>
    <t>0 - 51мм.</t>
  </si>
  <si>
    <t>1 - 59мм.</t>
  </si>
  <si>
    <t>Кронштейн монтажного профиля L c винтом,алюминиевый,белый</t>
  </si>
  <si>
    <t>Кронштейн 51 мм,L,металл</t>
  </si>
  <si>
    <t>Кронштейн 59 мм,L,металл</t>
  </si>
  <si>
    <t>Профиль монажный L, белый</t>
  </si>
  <si>
    <t>Заглушка в трубу 43 мм с фиксатором L, белая</t>
  </si>
  <si>
    <t>Саморез 4,3х13 мм</t>
  </si>
  <si>
    <t>Трос 2мм</t>
  </si>
  <si>
    <t>Кронштейн для троса стеновой,белый</t>
  </si>
  <si>
    <t>Кронштейн для троса подоконный, белый</t>
  </si>
  <si>
    <t>Зажим для троса 2мм</t>
  </si>
  <si>
    <t>Пружина 0,9х26,5</t>
  </si>
  <si>
    <t>Винт М4х10DIN965</t>
  </si>
  <si>
    <t>Гайка М4</t>
  </si>
  <si>
    <t xml:space="preserve">Адаптер 43-52 мм,L </t>
  </si>
  <si>
    <t>Адаптер- кольцо 52 мм,L</t>
  </si>
  <si>
    <t xml:space="preserve">Адаптер 43-65 мм,L </t>
  </si>
  <si>
    <r>
      <t>Адаптер+переходник</t>
    </r>
    <r>
      <rPr>
        <sz val="8"/>
        <rFont val="Arial"/>
        <family val="2"/>
        <charset val="204"/>
      </rPr>
      <t>для Somfy LS40, труба 52</t>
    </r>
  </si>
  <si>
    <t>Адаптер+переходник для DM35, труба 65мм</t>
  </si>
  <si>
    <r>
      <t>Адаптер+переходник</t>
    </r>
    <r>
      <rPr>
        <sz val="8"/>
        <rFont val="Arial"/>
        <family val="2"/>
        <charset val="204"/>
      </rPr>
      <t xml:space="preserve"> для Somfy LS40, труба 65</t>
    </r>
  </si>
  <si>
    <t>Изделий 52 мм, управление справа, кол-во шт.</t>
  </si>
  <si>
    <t>Изделий 65 мм, управление справа, кол-во шт.</t>
  </si>
  <si>
    <t>Кронштейн для кассеты L c винтом,алюминиевый,белый</t>
  </si>
  <si>
    <t>Заглушка боковая универсальная кассеты L,белая</t>
  </si>
  <si>
    <t>Штифт блокирующий, прозрачный</t>
  </si>
  <si>
    <t>Профиль кассеты лицевой квадратный L, белый</t>
  </si>
  <si>
    <t>Профиль кассеты базовый L, белый</t>
  </si>
  <si>
    <t>Адаптер 43-52 мм,L</t>
  </si>
  <si>
    <t xml:space="preserve">Адаптер- кольцо 52 мм,L </t>
  </si>
  <si>
    <t>Кронштейн 36 мм. М, металл</t>
  </si>
  <si>
    <t>Кронштейн 41 мм. М металл</t>
  </si>
  <si>
    <t>Кронштейн 41 мм. М, 90гр., металл</t>
  </si>
  <si>
    <t>Труба 44мм для моторизации M</t>
  </si>
  <si>
    <t>Труба 43мм с двумя пазами ML</t>
  </si>
  <si>
    <t>Кольцо стопорное 6х1,3х5мм</t>
  </si>
  <si>
    <t>Втулка для троса 1,2мм</t>
  </si>
  <si>
    <t>Вставка для головы Sonesse 30/DM25</t>
  </si>
  <si>
    <t>Соединитель кассеты M, прозрачный</t>
  </si>
  <si>
    <t>Профиль кассеты базовый М, базовый,белый</t>
  </si>
  <si>
    <t>Шлегель 7мм,серый</t>
  </si>
  <si>
    <t>Кольцо стопорное 6х1,3х5 мм</t>
  </si>
  <si>
    <t>Кронштейн 51мм L, 90гр. металл</t>
  </si>
  <si>
    <t>Кронштейн 59мм L, 90гр. металл</t>
  </si>
  <si>
    <t>Труба 52 мм c двумя пазами L</t>
  </si>
  <si>
    <t>Труба 65 мм c двумя пазами L</t>
  </si>
  <si>
    <t>Крышка  правая кассеты L, белая</t>
  </si>
  <si>
    <t>Крышка  левая кассеты L, белая</t>
  </si>
  <si>
    <t>Стопор для направляющих</t>
  </si>
  <si>
    <t>Рейка нижняя М.</t>
  </si>
  <si>
    <t>Рейка нижняя L</t>
  </si>
  <si>
    <t>Крышка нижней рейки М, пара, белая</t>
  </si>
  <si>
    <t>Крышка нижней рейки L, пара, белая</t>
  </si>
  <si>
    <t>Адаптер 29-44мм М</t>
  </si>
  <si>
    <t>Адаптер 29-44 мм М</t>
  </si>
  <si>
    <t>Рейка нижняя М, белая</t>
  </si>
  <si>
    <t>Рейка нижняя L, белая</t>
  </si>
  <si>
    <t>Пластиковая полоса-фиксатор  10х1,2мм</t>
  </si>
  <si>
    <t>Адаптер 29-44 мм.М</t>
  </si>
  <si>
    <t>Фиксатор троса L,пара</t>
  </si>
  <si>
    <t>Полоса-фиксатор  9мм</t>
  </si>
  <si>
    <t>Лента уплотняющая  7мм</t>
  </si>
  <si>
    <t>Кронштейн потолочный универсальный М,металл</t>
  </si>
  <si>
    <t>Лента клейкая д/трубы 17мм</t>
  </si>
  <si>
    <t>Нижняя направляющая</t>
  </si>
  <si>
    <t>Шлегель 10мм МL,серый</t>
  </si>
  <si>
    <t>Шлегель 7мм М,серый</t>
  </si>
  <si>
    <t>Шлегель 3,8x4 мм DF11</t>
  </si>
  <si>
    <t>ПРИВОДЫ</t>
  </si>
  <si>
    <t>Привод DM35LE/S-3/28 316#, АКБ, с обратной связью</t>
  </si>
  <si>
    <t>Привод DM35F/S-6/28 316#, 230В, с обратной связью</t>
  </si>
  <si>
    <t>Привод DM35F/SW-6/28, 316#, 230В, Wi-Fi с обр.св.</t>
  </si>
  <si>
    <t>Привод DM35SL-6/28, 316#, 230В</t>
  </si>
  <si>
    <t>Комплект электрики Amigo для Benthin 43</t>
  </si>
  <si>
    <t>Комплект электрики Amigo для Benthin 44</t>
  </si>
  <si>
    <t>Комплект электрики Somfy для Benthin 43</t>
  </si>
  <si>
    <t>Комплект электрики Somfy для Benthin 44</t>
  </si>
  <si>
    <t>Привод DM35F/Y-6/28, 316#, 230В, радио </t>
  </si>
  <si>
    <t>Адаптер+переходник для Somfy 30/DM 25, труба 43</t>
  </si>
  <si>
    <t>Адаптер+переходник для Somfy 30/DM25 труба 43</t>
  </si>
  <si>
    <t>Адаптер+переходник для Somfy30/DM25, труба 43</t>
  </si>
  <si>
    <t>Комплект электрики Amigo для Benthin 52</t>
  </si>
  <si>
    <t>Комплект электрики Amigo для Benthin 65</t>
  </si>
  <si>
    <t>Комплект электрики Somfy для Benthin 52</t>
  </si>
  <si>
    <t>Комплект электрики Somfy для Benthin 65</t>
  </si>
  <si>
    <t>Кардан</t>
  </si>
  <si>
    <t>Кронштейн соединительный МОНО 36 мм. М, металл</t>
  </si>
  <si>
    <t>Заглушка в трубу 43 мм регулируемая МОНО М, серая</t>
  </si>
  <si>
    <t>Заглушка соединительная в трубу 43 мм  МL, серая</t>
  </si>
  <si>
    <t>Ось соединительная ML</t>
  </si>
  <si>
    <t>Опора для кронштейна МОНО, М 1,5мм</t>
  </si>
  <si>
    <t>Соединитель карданный ML</t>
  </si>
  <si>
    <t>Кол-во полотен ткани в изделии 52 мм, шт.</t>
  </si>
  <si>
    <t>Кол-во полотен ткани в изделии 65 мм, шт.</t>
  </si>
  <si>
    <t>Кронштейн  для моторизации и МОНО 51 мм,L,металл</t>
  </si>
  <si>
    <t>Кронштейн для моторизации и МОНО 59 мм,L,металл</t>
  </si>
  <si>
    <t>Кронштейн для моторизации и МОНО 51 мм,L,металл</t>
  </si>
  <si>
    <t>Заглушка в трубу 43 мм регулируемая МОНО L, серая</t>
  </si>
  <si>
    <t>Опора для кронштейна МОНО, L 3мм</t>
  </si>
  <si>
    <t>Шуруп  4,2х13 мм</t>
  </si>
  <si>
    <t>Лента(ГКС), м</t>
  </si>
  <si>
    <t>Привод Roll Up 28 RTS 1,1/27,  (радио 12В пост. тока)</t>
  </si>
  <si>
    <t>Привод ROLL UP 28 WT W/PIN (провод 24В пост. тока )</t>
  </si>
  <si>
    <t>Изделий 29 мм , кол-во шт.</t>
  </si>
  <si>
    <t>Комплект электрики Amigo для Benthin 29</t>
  </si>
  <si>
    <t>Комплект электрики Somfy для Benthin 29</t>
  </si>
  <si>
    <t>Рейка нижняя L .</t>
  </si>
  <si>
    <t>Кронштейн 41 мм. М, металл</t>
  </si>
  <si>
    <t>Труба 29мм M/Roof</t>
  </si>
  <si>
    <t>Держатель троса потолочный M</t>
  </si>
  <si>
    <t>Держатель троса, прозрачный, стеновой</t>
  </si>
  <si>
    <t>Адаптер для привода Sonesse 30/DM25 для трубы 29</t>
  </si>
  <si>
    <t>Адаптер для привода Somfy Sonesse 30/Roll Up 28</t>
  </si>
  <si>
    <t>Изделий 29 мм, кол-во шт.</t>
  </si>
  <si>
    <t>Боковая фиксация</t>
  </si>
  <si>
    <t>Регулируемая заглушка</t>
  </si>
  <si>
    <t>Кронштейн потолочный универсальный М,металл (короб)</t>
  </si>
  <si>
    <t>Кронштейн потолочный универсальный М,металл (направляющие)</t>
  </si>
  <si>
    <t>Шлегель для направляющей (LVT)</t>
  </si>
  <si>
    <t>Крышка нижней рейки M, пара, белая</t>
  </si>
  <si>
    <t>Рейка нижняя M, белая</t>
  </si>
  <si>
    <t>Саморез, 2.9x16 DIN7981 ZN</t>
  </si>
  <si>
    <t>Саморез, 3.9x16 DIN7981 ZN</t>
  </si>
  <si>
    <t>1 или 2</t>
  </si>
  <si>
    <t>Крышка нижней рейки L , пара, белая</t>
  </si>
  <si>
    <t>Кронштейн соединительный МОНО 41 мм. М, металл</t>
  </si>
  <si>
    <t>Монтажный профиль</t>
  </si>
  <si>
    <t>0 - Нет</t>
  </si>
  <si>
    <t>1 - Да</t>
  </si>
  <si>
    <t>Изделий 29 мм с монтажным профилем,кол-во шт.</t>
  </si>
  <si>
    <t>Изделий 43 мм с монтажным профилем, кол-во шт.</t>
  </si>
  <si>
    <t>Изделий 44 мм с монтажным профилем, кол-во шт.</t>
  </si>
  <si>
    <t>Кронштейн 36 мм. М, 90гр., металл</t>
  </si>
  <si>
    <t>Кронштейн 60 мм. М, металл</t>
  </si>
  <si>
    <t>Ширина 1 изделия  (м)</t>
  </si>
  <si>
    <t>Высота 1 изделия(м)</t>
  </si>
  <si>
    <t>Ширина  2 изделия(м)</t>
  </si>
  <si>
    <t>Высота 2 изделия(м)</t>
  </si>
  <si>
    <t>Кронштейн ДАБЛ 51мм L, металл</t>
  </si>
  <si>
    <t>Ширина 1 (м)</t>
  </si>
  <si>
    <t>Ширина 2 (м)</t>
  </si>
  <si>
    <t>Высота 1 (м)</t>
  </si>
  <si>
    <t>Высота 2 (м)</t>
  </si>
  <si>
    <t>Кол-во  изделий 52 мм, шт.</t>
  </si>
  <si>
    <t>Кол-во изделий 65 мм, шт.</t>
  </si>
  <si>
    <t>Кол-во изделий 52 мм, шт.</t>
  </si>
  <si>
    <t>Крышка нижней рейки L, пара</t>
  </si>
  <si>
    <t>Крышка нижней рейки M, пара</t>
  </si>
  <si>
    <t>Труба 19 мм</t>
  </si>
  <si>
    <t>Привод DM15LEU/S-0.3/30, с обратной связью</t>
  </si>
  <si>
    <t>Кабель microUSB, 3м</t>
  </si>
  <si>
    <t>Необходимое кол-во кабелей microUSB для зарядных устройств (шт.)</t>
  </si>
  <si>
    <t>Зарядное устройство USB 5В/1А</t>
  </si>
  <si>
    <t>Пульт ДУ DD</t>
  </si>
  <si>
    <t>Необходимое кол-во пультов ДУ DD (шт.)</t>
  </si>
  <si>
    <t>Дополнительная комплектация UNI 2 на скотч, шт.</t>
  </si>
  <si>
    <t>Расчет стоимости UNI II c ЭП</t>
  </si>
  <si>
    <t>Плитка подкладочная высокая, пара</t>
  </si>
  <si>
    <t>Доп.профиль высокий</t>
  </si>
  <si>
    <t>Расчет стоимости UNI II ЗЕБРА c ЭП</t>
  </si>
  <si>
    <t>Расчет стоимости UNI ЗЕБРА с ЭП</t>
  </si>
  <si>
    <t>Труба 19мм, м</t>
  </si>
  <si>
    <t>Пульт ДУ DD, шт.</t>
  </si>
  <si>
    <t>Направляющая лески скрытая</t>
  </si>
  <si>
    <t>Направляющая лески скрытая, шт.</t>
  </si>
  <si>
    <t>0 - нет; 1 - металл., 2 - пластик., 3 - пластик. ЗЕБРА</t>
  </si>
  <si>
    <t>0 - нет, 1 - магниты + держатели; 2 - магниты + полоса</t>
  </si>
  <si>
    <t>1 - саморезы; 2 - скотч; 3 - кронштейны ПВХ</t>
  </si>
  <si>
    <t>Изделий 75 мм с монтажным профилем, шт.</t>
  </si>
  <si>
    <t>Изделий 75 мм , кол-во шт.</t>
  </si>
  <si>
    <t>Комплект электрики Amigo для Benthin 75</t>
  </si>
  <si>
    <t>Комплект электрики Somfy для Benthin 75</t>
  </si>
  <si>
    <t>Тип привода</t>
  </si>
  <si>
    <t>Привод DM35SL-10/17, №316, 230В</t>
  </si>
  <si>
    <t>Привод DM35LE-3/28, 12В, №316, АКБ</t>
  </si>
  <si>
    <t>Привод SONESSE 50 WT 6/28 (провод ~230В) МК</t>
  </si>
  <si>
    <t>Привод SONESSE 50 RTS 6/28 (радио ~230В) ЭК</t>
  </si>
  <si>
    <t>Привод SONESSE 50 RTS 10/28 (радио ~230В) ЭК</t>
  </si>
  <si>
    <t>СТРОЧКИ ОБЯЗАТЕЛЬНЫЕ ДЛЯ ЗАПОЛНЕНИЯ</t>
  </si>
  <si>
    <t>ОДНА ИЗ СТРОЧЕК ОБЯЗАТЕЛЬНА ДЛЯ ЗАПОЛНЕНИЯ</t>
  </si>
  <si>
    <t>ДЛЯ ЗАПОЛНЕНИЯ ВЫБРАТЬ ТОЛЬКО ОДНУ ИЗ СТРОЧЕК</t>
  </si>
  <si>
    <t>Адаптер+переходникдля Somfy LS40, труба 52</t>
  </si>
  <si>
    <t>Адаптер+переходник для Somfy LS40, труба 65</t>
  </si>
  <si>
    <t>Адаптер- кольцо 75 мм,L</t>
  </si>
  <si>
    <t>Труба 75 мм c двумя пазами L</t>
  </si>
  <si>
    <t>Адаптер+переходник для DM35, труба 75мм</t>
  </si>
  <si>
    <t>Адаптер+переходник для Somfy WT50, труба 75</t>
  </si>
  <si>
    <t>⅍</t>
  </si>
  <si>
    <t>Крышка нижней рейки М, пара</t>
  </si>
  <si>
    <t>Крышка нижней рейки М для боковой фиксации, пара</t>
  </si>
  <si>
    <t>Крышка кронштейна кронштейна широкая 55х36 мм М</t>
  </si>
  <si>
    <t>Крышка кронштейна кронштейна плоская 55х36 мм М</t>
  </si>
  <si>
    <t>Крышка кронштейна кронштейна широкая 55х41 мм М</t>
  </si>
  <si>
    <t xml:space="preserve">Крышка кронштейна кронштейна широкая 55х41 мм М </t>
  </si>
  <si>
    <t>Крышка кронштейна кронштейна плоская 55х41 мм М</t>
  </si>
  <si>
    <t>Крышка кронштейна кронштейна плоская 55х46 мм М</t>
  </si>
  <si>
    <t xml:space="preserve">Крышка кронштейна кронштейна широкая 55х46 мм М </t>
  </si>
  <si>
    <t>Крышка кронштейна кронштейна широкая 55х46 мм М</t>
  </si>
  <si>
    <t>Крышка кронштейна кронштейна широкая 55х60 мм М</t>
  </si>
  <si>
    <t>Рейка нижняя М</t>
  </si>
  <si>
    <t>Профиль монажный М</t>
  </si>
  <si>
    <t>Заглушка в трубу 29 мм,регулируемая М</t>
  </si>
  <si>
    <t>1 - провод</t>
  </si>
  <si>
    <t>2 - радио</t>
  </si>
  <si>
    <t>3 - радио с АКБ</t>
  </si>
  <si>
    <t>1 - 36мм.</t>
  </si>
  <si>
    <t>2 - 41мм.</t>
  </si>
  <si>
    <t>3 - 60мм.</t>
  </si>
  <si>
    <t>ТОЛЬКО С НИЖНЕЙ РЕЙКОЙ М</t>
  </si>
  <si>
    <t>Привод Sonesse 28 RTS WireFree 1,1/28</t>
  </si>
  <si>
    <t>Крышка кронштейна  широкая 55х41 мм М</t>
  </si>
  <si>
    <t>Крышка кронштейна  широкая 55х46 мм М</t>
  </si>
  <si>
    <t>Изделий75 мм, управление справа, кол-во шт.</t>
  </si>
  <si>
    <t>Профиль кассеты базовый М, базовый</t>
  </si>
  <si>
    <t>Профиль кассеты лицевой квадратный М</t>
  </si>
  <si>
    <t>Крышка кассеты левая М</t>
  </si>
  <si>
    <t>Крышка кассеты правая М</t>
  </si>
  <si>
    <t>Кронштейн для кассеты М с винтом, алюм.</t>
  </si>
  <si>
    <t>Крышка нижней рейки М для направляющих ,пара</t>
  </si>
  <si>
    <t>Соединитель кассеты и направляющей М,пара</t>
  </si>
  <si>
    <t>Направляющая для кассеты М</t>
  </si>
  <si>
    <t>Заглушка для направляющей М, пара</t>
  </si>
  <si>
    <t>Профиль закрывающий М</t>
  </si>
  <si>
    <t>Направляющая нижняя для кассеты МL</t>
  </si>
  <si>
    <t>Кронштейн монтажного профиля L c винтом,алюминиевый</t>
  </si>
  <si>
    <t>Крышка кронштейна плоская 59х51 мм L</t>
  </si>
  <si>
    <t>Крышка кронштейна  широкая 91х51 мм L</t>
  </si>
  <si>
    <t>Накладка на кронштейн  L</t>
  </si>
  <si>
    <t>Рейка нижняя M</t>
  </si>
  <si>
    <t>Заглушка в трубу 43 мм,регулируемая L</t>
  </si>
  <si>
    <t>Заглушка в трубу 43 мм с фиксатором L</t>
  </si>
  <si>
    <t>Крышка нижней рейки L для боковой фиксапции, пара</t>
  </si>
  <si>
    <t>Кронштейн для троса стеновой</t>
  </si>
  <si>
    <t>Кронштейн для троса подоконный</t>
  </si>
  <si>
    <t>Накладка на кронштейн 51мм L</t>
  </si>
  <si>
    <t xml:space="preserve">Адаптер- кольцо 75 мм,L </t>
  </si>
  <si>
    <t>Крышка нижней рейки L для боковой фиксации, пара</t>
  </si>
  <si>
    <t>Крышка нижней рейки L для направляющих, пара</t>
  </si>
  <si>
    <t>Кронштейн для кассеты L c винтом,алюминиевый</t>
  </si>
  <si>
    <t>Крышка  правая кассеты L</t>
  </si>
  <si>
    <t>Крышка  левая кассеты L</t>
  </si>
  <si>
    <t>Заглушка боковая универсальная кассеты L</t>
  </si>
  <si>
    <t>Направляющая для кассеты L</t>
  </si>
  <si>
    <t>Профиль закрывающий L</t>
  </si>
  <si>
    <t>Профиль кассеты лицевой квадратный L</t>
  </si>
  <si>
    <t>Профиль кассеты базовый L</t>
  </si>
  <si>
    <t>Заглушка для направляющей L</t>
  </si>
  <si>
    <t>Соединитель кассеты и направляющей L</t>
  </si>
  <si>
    <t>Заглушка для направляющей нижней L, пара</t>
  </si>
  <si>
    <t>Ширина изделия полная  (м)</t>
  </si>
  <si>
    <t>Высота изделия полная (м)</t>
  </si>
  <si>
    <t>ТОЛЬКО С НИЖНЕЙ РЕЙКОЙ М,L</t>
  </si>
  <si>
    <t>ТОЛЬКО С НИЖНЕЙ РЕЙКОЙ L</t>
  </si>
  <si>
    <t>Кол-во изделий 43 мм , шт.</t>
  </si>
  <si>
    <t>Кол-во изделий 44 мм , шт.</t>
  </si>
  <si>
    <t>Крышка нижней рейки L , пара</t>
  </si>
  <si>
    <t>Привод SONESSE  28 RTS WireFree 1,1/28</t>
  </si>
  <si>
    <t>Кол-во полотен ткани в изделии 75 мм, шт.</t>
  </si>
  <si>
    <t>СТРОЧКА ОБЯЗАТЕЛЬНАЯ  ДЛЯ ЗАПОЛНЕНИЯ</t>
  </si>
  <si>
    <t>Профиль монажный L</t>
  </si>
  <si>
    <t>Саморез, 3.5x13 DIN7981 ZN</t>
  </si>
  <si>
    <t>Кол-во изделий 75 мм, шт.</t>
  </si>
  <si>
    <t>Крышка кронштейна широкая 59х51 мм L</t>
  </si>
  <si>
    <t>Крышка кронштейна широкая 91x51мм м.проф. L</t>
  </si>
  <si>
    <t>Накладка на кронштейн L, белая</t>
  </si>
  <si>
    <t>Адаптер для оси 7-10мм</t>
  </si>
  <si>
    <t>Кронштейн 36мм М, металл</t>
  </si>
  <si>
    <t>Саморез, 2.2x6,5 DIN7981 ZN</t>
  </si>
  <si>
    <t>Соединитель кассеты SM, прозрачный</t>
  </si>
  <si>
    <t>ПРИМИНИМО ДЛЯ ПРОВОДНЫХ ПРИВОДОВ</t>
  </si>
  <si>
    <t>ПРИМИНИМО ДЛЯ РАДИО ПРИВОДОВ</t>
  </si>
  <si>
    <t>ПРИМИНИМО ДЛЯ  ПРИВОДОВ С АКБ</t>
  </si>
  <si>
    <t>Зарядное устройство , для приводов с АКБ</t>
  </si>
  <si>
    <t>Бегунок шторный поворотный</t>
  </si>
  <si>
    <t>Каретка ведущая длинная с роликом</t>
  </si>
  <si>
    <t>Каретка ведущая короткая</t>
  </si>
  <si>
    <t>Скоба для ролика</t>
  </si>
  <si>
    <t>Ролик для каретки</t>
  </si>
  <si>
    <t>Расчет стоимости Ролла кассета 1</t>
  </si>
  <si>
    <t>Тип крепления (сверление)</t>
  </si>
  <si>
    <t xml:space="preserve">Труба алюмин. 19мм </t>
  </si>
  <si>
    <t>Короб ROLLA кассета, белый</t>
  </si>
  <si>
    <t>Направляющая плоская ROLLA кассета, белая</t>
  </si>
  <si>
    <t>Планка нижняя стальная, белая RUS</t>
  </si>
  <si>
    <t>Уплотнитель нижней планки, белый UNI</t>
  </si>
  <si>
    <t>Крышка плоской напр. ROLLA кассета, пара, белая</t>
  </si>
  <si>
    <t xml:space="preserve">                                                                                                                                            Итого сумма</t>
  </si>
  <si>
    <t>Плитка подкладочная низкая ROLLA касс.,пара,белая</t>
  </si>
  <si>
    <t>Доп. профиль низкий ROLLA кассета, белый</t>
  </si>
  <si>
    <t>Пакеты</t>
  </si>
  <si>
    <t>Слева</t>
  </si>
  <si>
    <t>Справа</t>
  </si>
  <si>
    <t>Да</t>
  </si>
  <si>
    <t>Нет</t>
  </si>
  <si>
    <t>Комплект для моторизации ROLLA кассета, белый</t>
  </si>
  <si>
    <t>Rolla КС 3</t>
  </si>
  <si>
    <t>Расчет стоимости Ролла кассета 2</t>
  </si>
  <si>
    <t>Направляющая C-образная ROLLA кассета, белая</t>
  </si>
  <si>
    <t>Крышка С-образной напр. ROLLA кассета, пара, белая</t>
  </si>
  <si>
    <t>Плитка подкладочная высокая ROLLA касс.,пара,белая</t>
  </si>
  <si>
    <t>Доп. профиль высокий ROLLA кассета, белый</t>
  </si>
  <si>
    <t>Расчет стоимости Ролла кассета 1 Зебра</t>
  </si>
  <si>
    <t>Отвес нижний для зебры белый UNI 10мм</t>
  </si>
  <si>
    <t xml:space="preserve">Расчет стоимости Ролла кассета 2 Зебра </t>
  </si>
  <si>
    <t>Кронштейн 36мм M, металл</t>
  </si>
  <si>
    <t>Кронштейн усиленный</t>
  </si>
  <si>
    <t>Кронштейн для монтажного профиля M с винтом</t>
  </si>
  <si>
    <t xml:space="preserve">Адаптер 43-52мм </t>
  </si>
  <si>
    <t>Адаптер 43-52 мм</t>
  </si>
  <si>
    <t>Саморез 3,5x13 DIN 7981</t>
  </si>
  <si>
    <t>Адаптер 43-52мм М</t>
  </si>
  <si>
    <t>Адаптер 29-44мм .М</t>
  </si>
  <si>
    <t>Расчет стоимости V34</t>
  </si>
  <si>
    <t>Длина управления (м)</t>
  </si>
  <si>
    <t>Материал ламелей</t>
  </si>
  <si>
    <r>
      <t>1</t>
    </r>
    <r>
      <rPr>
        <sz val="8"/>
        <rFont val="Arial"/>
        <family val="2"/>
        <charset val="204"/>
      </rPr>
      <t xml:space="preserve"> - ткань;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ПЛ или  АЛ</t>
    </r>
  </si>
  <si>
    <t>Грувер</t>
  </si>
  <si>
    <r>
      <t>0</t>
    </r>
    <r>
      <rPr>
        <sz val="8"/>
        <rFont val="Arial"/>
        <family val="2"/>
        <charset val="204"/>
      </rPr>
      <t xml:space="preserve"> - нет, </t>
    </r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 - да</t>
    </r>
  </si>
  <si>
    <t>Количество изделий (шт)</t>
  </si>
  <si>
    <t>Комплектация</t>
  </si>
  <si>
    <r>
      <t>1</t>
    </r>
    <r>
      <rPr>
        <sz val="8"/>
        <rFont val="Arial"/>
        <family val="2"/>
        <charset val="204"/>
      </rPr>
      <t xml:space="preserve"> - пластиковая;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металл</t>
    </r>
  </si>
  <si>
    <t>Движение ламелей</t>
  </si>
  <si>
    <r>
      <t>1</t>
    </r>
    <r>
      <rPr>
        <sz val="8"/>
        <rFont val="Arial"/>
        <family val="2"/>
        <charset val="204"/>
      </rPr>
      <t xml:space="preserve"> - к управлению; 
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от управления;
</t>
    </r>
    <r>
      <rPr>
        <b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 xml:space="preserve"> - к центру; </t>
    </r>
    <r>
      <rPr>
        <b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- от центра</t>
    </r>
  </si>
  <si>
    <t>Кронштейн Armstrong</t>
  </si>
  <si>
    <t>Кронштейн стеновой, 10 см</t>
  </si>
  <si>
    <t>Удлинитель стеновых кронштейнов</t>
  </si>
  <si>
    <t>Количество ламелей (расчетное), шт.</t>
  </si>
  <si>
    <t>Количество кронштейнов (расчетное), шт.</t>
  </si>
  <si>
    <t>Грузик нижний, 89 мм</t>
  </si>
  <si>
    <t>Держатель ламели, 89 мм</t>
  </si>
  <si>
    <t>Кольцо на стержень 11 мм</t>
  </si>
  <si>
    <t>Бегунок с дист. 89 лев.</t>
  </si>
  <si>
    <t>Бегунок с дист. 89 прав.</t>
  </si>
  <si>
    <t>Крепеж (болт-гайка)</t>
  </si>
  <si>
    <t>Кронштейн потолочный для "Armstrong"</t>
  </si>
  <si>
    <t>Кронштейн стеновой 7,5 см</t>
  </si>
  <si>
    <t>Профиль алюминиевый белый V34</t>
  </si>
  <si>
    <t>С-клип (держатель 1-го бегунка)</t>
  </si>
  <si>
    <t>Стержень поворотный, алюминиевый, 4-х заходный</t>
  </si>
  <si>
    <t>Стопор</t>
  </si>
  <si>
    <t>Стопор магнитный</t>
  </si>
  <si>
    <t>Тюбик виниловый OMEGA - клип, 10 мм</t>
  </si>
  <si>
    <t>Уголок к фиксатору веревки, металлический</t>
  </si>
  <si>
    <t>Фиксатор веревки универсальный (для верт. жалюзи)</t>
  </si>
  <si>
    <t>Цепь нижняя, 89мм, металлическая, AMILUX</t>
  </si>
  <si>
    <t>Цепь нижняя, 89 мм, пластиковая</t>
  </si>
  <si>
    <t>Цепь нижняя для вертикального пластика, пластик</t>
  </si>
  <si>
    <t>Цепь нижняя для вертикального пластика, металлическая</t>
  </si>
  <si>
    <t>Ткань на изделие, м</t>
  </si>
  <si>
    <t>Грувер с боковинами, м</t>
  </si>
  <si>
    <t>Кронштейн для грувера, шт.</t>
  </si>
  <si>
    <t>Уголок торцевой для грувера, шт.</t>
  </si>
  <si>
    <t>Держатель ламели, 89 мм, прозрачный, двусоставный, шт.</t>
  </si>
  <si>
    <t>Клипса для наклонных окон, шт.</t>
  </si>
  <si>
    <t>Цепь для вертикального привода DK30</t>
  </si>
  <si>
    <t>Управление</t>
  </si>
  <si>
    <t>2 - правое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</si>
  <si>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>- левое</t>
    </r>
  </si>
  <si>
    <t>Механизм управления, 34, СK</t>
  </si>
  <si>
    <t>Привод вертикальный DK30DE/S-15N/6CM с обр. связью</t>
  </si>
  <si>
    <t>Расчет стоимости, 
римские шторы MAXI</t>
  </si>
  <si>
    <t>Карниз для римской шторы MAXI</t>
  </si>
  <si>
    <t>Труба октогональная 40мм, алюминиевая</t>
  </si>
  <si>
    <t>Подкладка для крепления конуса MAXI, комплект</t>
  </si>
  <si>
    <t>Крепление для привода и заглушки MAXI</t>
  </si>
  <si>
    <t>Заглушка DW13 в октогональный вал</t>
  </si>
  <si>
    <t>Крепление конуса шнуронамотки MAXI</t>
  </si>
  <si>
    <t>Конус шнуронамотки MAXI</t>
  </si>
  <si>
    <t>Крышка боковая римского карниза MAXI, пара</t>
  </si>
  <si>
    <t>Кронштейн для римского карниза MAXI</t>
  </si>
  <si>
    <t>Пружина прижимная для конуса MAXI</t>
  </si>
  <si>
    <t>Веревка 1.6мм, для 1" полосы, белая</t>
  </si>
  <si>
    <t>Саморез, 2.9x13 DIN7982C</t>
  </si>
  <si>
    <t>Шуруп 3*10мм под магнит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</si>
  <si>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- провод,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- АКБ с обр. связью, </t>
    </r>
    <r>
      <rPr>
        <b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>- с обр. связью, 4- WI-FI с обр. связью,</t>
    </r>
    <r>
      <rPr>
        <b/>
        <sz val="8"/>
        <rFont val="Arial"/>
        <family val="2"/>
        <charset val="204"/>
      </rPr>
      <t>5</t>
    </r>
    <r>
      <rPr>
        <sz val="8"/>
        <rFont val="Arial"/>
        <family val="2"/>
        <charset val="204"/>
      </rPr>
      <t xml:space="preserve"> - радио</t>
    </r>
  </si>
  <si>
    <t>Кронштейн День-Ночь M, белый</t>
  </si>
  <si>
    <t>Расчет стоимости, 
классика Mono AMG с ЭП</t>
  </si>
  <si>
    <t>Кол-во изделий с приводом АКБ, шт.</t>
  </si>
  <si>
    <t>Заглушка нижней рейки, белая СК</t>
  </si>
  <si>
    <t>Крышка кронштейна 45, белая</t>
  </si>
  <si>
    <t>Рейка нижняя алюминий под полосу (AMG), белая</t>
  </si>
  <si>
    <t>Труба 45 мм с 3-мя пазами (AMG)</t>
  </si>
  <si>
    <t>Пластина подкладочная для MONO/DOUBLE AMG</t>
  </si>
  <si>
    <t>Пластина для привода DM25 - труба 45 с отв. 29мм</t>
  </si>
  <si>
    <t>Адаптер прорезиненный DL489</t>
  </si>
  <si>
    <t>Зарядное устройство USB 5В-1А</t>
  </si>
  <si>
    <t>Кабель microUSB, 3 м</t>
  </si>
  <si>
    <t>Расчет стоимости, кассета AMG с ЭП</t>
  </si>
  <si>
    <t>С потолочным кронштейном</t>
  </si>
  <si>
    <t xml:space="preserve">   Из них кол-во кассет 32 мм с трубой 35 с Приводом АКБ</t>
  </si>
  <si>
    <t xml:space="preserve">   Из них кол-во кассет 45 мм с Приводом АКБ</t>
  </si>
  <si>
    <t>Кронштейн потолочный кассеты 32 СК</t>
  </si>
  <si>
    <t>Кронштейн потолочный кассеты 45 СК</t>
  </si>
  <si>
    <t>Кронштейн стеновой кассеты 32 СК</t>
  </si>
  <si>
    <t>Кронштейн стеновой кассеты 45 СК</t>
  </si>
  <si>
    <t>Механизм упр. цепь кассеты 32, правый (комп) СК</t>
  </si>
  <si>
    <r>
      <t xml:space="preserve">Механизм упр. цепь кассеты 32, левый (комп) СК - </t>
    </r>
    <r>
      <rPr>
        <sz val="8"/>
        <color rgb="FFFF0000"/>
        <rFont val="Arial"/>
        <family val="2"/>
        <charset val="204"/>
      </rPr>
      <t>если нет поз. 29!!!</t>
    </r>
  </si>
  <si>
    <t>Профиль лицевой кассеты 32, без паза</t>
  </si>
  <si>
    <t>Профиль лицевой кассеты 32, с пазом</t>
  </si>
  <si>
    <t>Профиль лицевой кассеты 45, без паза</t>
  </si>
  <si>
    <t>Профиль лицевой кассеты 45, с пазом</t>
  </si>
  <si>
    <t>Профиль соединительный кассеты 32</t>
  </si>
  <si>
    <t>Профиль соединительный кассеты 45</t>
  </si>
  <si>
    <t>Труба 32 мм с пазом (AMG)</t>
  </si>
  <si>
    <t>Переходник ЛВТ35</t>
  </si>
  <si>
    <t>Пластина для привода DM25 - труба 35 с отв. 29мм</t>
  </si>
  <si>
    <t>Расчет стоимости, 
день-ночь 45 мм AMG с ЭП</t>
  </si>
  <si>
    <t>Кол-во изделий с трубой 45 мм, шт.</t>
  </si>
  <si>
    <t>Кронштейн двойной 45 (комплект)</t>
  </si>
  <si>
    <t>Крышка двойного кронштейна 45 (комплект)</t>
  </si>
  <si>
    <t>Расчет стоимости,
классика Double AMG с ЭП</t>
  </si>
  <si>
    <t>Заглушка в трубу 29мм M</t>
  </si>
  <si>
    <t>Адаптер для привода Somfy Sonesse 30/Roll up 28</t>
  </si>
  <si>
    <t>Фибергласcовый стержень</t>
  </si>
  <si>
    <t>Стержень фибергласcовый 3мм</t>
  </si>
  <si>
    <t>Стержень фиберглаcсовый 5мм</t>
  </si>
  <si>
    <t>Стержень фиберглаcсовый 3мм</t>
  </si>
  <si>
    <t>Расчет стоимости, 
классика AMG XL</t>
  </si>
  <si>
    <t>Труба 90мм, алюминиевая</t>
  </si>
  <si>
    <t>Заглушка для трубы 90мм</t>
  </si>
  <si>
    <t>Стержень фибергласовый 6мм</t>
  </si>
  <si>
    <t>Заглушка нижняя в трубу 29</t>
  </si>
  <si>
    <t>Кронштейн 151 мм для трубы 90мм под заглушку,белый</t>
  </si>
  <si>
    <t>Кронштейн 151 мм для трубы 90мм под мотор, белый</t>
  </si>
  <si>
    <t>Саморез, 3.9x13 DIN7981 ZN</t>
  </si>
  <si>
    <t>Адаптер DM45 для трубы 90мм</t>
  </si>
  <si>
    <t>Переходник DM45 для трубы 90мм</t>
  </si>
  <si>
    <t>Расчет стоимости, Лифт система</t>
  </si>
  <si>
    <t>Кроннштейн подвеса</t>
  </si>
  <si>
    <t>1 -  Однорядный</t>
  </si>
  <si>
    <t>2 - Двухрядный</t>
  </si>
  <si>
    <t>Диаметр привода</t>
  </si>
  <si>
    <t>1 - 45 мм</t>
  </si>
  <si>
    <t>0 - 35 мм</t>
  </si>
  <si>
    <t>Заглушка для трубы 63мм LIFT</t>
  </si>
  <si>
    <t>Кабель спиральный LIFT 4,5м</t>
  </si>
  <si>
    <t>Катушка для ремня LIFT</t>
  </si>
  <si>
    <t>Крепеж для ремня LIFT</t>
  </si>
  <si>
    <t>Кронштейн для заглушки LIFT</t>
  </si>
  <si>
    <t>Кронштейн для мотора LIFT</t>
  </si>
  <si>
    <t>Кронштейн для подвеса одинарный LIFT</t>
  </si>
  <si>
    <t>Кронштейн для подвеса двойной LIFT</t>
  </si>
  <si>
    <t>Кронштейн соединительный LIFT</t>
  </si>
  <si>
    <t>Ремень для LIFT</t>
  </si>
  <si>
    <t>Фиксатор катушки, комплект LIFT</t>
  </si>
  <si>
    <t>Труба 63мм LIFT</t>
  </si>
  <si>
    <t>Привод DM35SL-10/17, 316#, 230В</t>
  </si>
  <si>
    <t>Привод DM35F/S-10/17 316#, 230В, с обратной связью</t>
  </si>
  <si>
    <t>Привод DM35F/SW-10/17, 316#, 230В, Wi-Fi с обр.св.</t>
  </si>
  <si>
    <t>Привод DM35F/Y10/17, 316#, 230В, радио </t>
  </si>
  <si>
    <t>Привод DM45BW/Z-20/15, 230В</t>
  </si>
  <si>
    <t>Привод DM45EAF/S-20/15, 230В, с обратной связью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</si>
  <si>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- провод,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- с обр. связью, 3- WI-FI с обр. связью, </t>
    </r>
    <r>
      <rPr>
        <b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- радио</t>
    </r>
  </si>
  <si>
    <t>1 - по ткани</t>
  </si>
  <si>
    <t>2 - по ГИ</t>
  </si>
  <si>
    <t>Изделий 35 мм без монтажного профиля, шт.</t>
  </si>
  <si>
    <t>Изделий 45 мм без монтажного профиля, шт.</t>
  </si>
  <si>
    <t>Изделий 55 мм без монтажного профиля, шт.</t>
  </si>
  <si>
    <t>Изделий 35 мм с монтажным профилем, шт.</t>
  </si>
  <si>
    <t>Изделий 45 мм с монтажным профилем, шт.</t>
  </si>
  <si>
    <t>Изделий 55 мм с монтажным профилем, шт.</t>
  </si>
  <si>
    <t>Трос, кол-во стеновых комплектов</t>
  </si>
  <si>
    <t>Трос, кол-во потолочных комплектов</t>
  </si>
  <si>
    <t>Кол-во ЭП 55 с проводным управлением</t>
  </si>
  <si>
    <t>Кол-во ЭП 55 с радиоуправлением</t>
  </si>
  <si>
    <t>Кол-во ЭП 55 с радиоуправлением и АКБ</t>
  </si>
  <si>
    <t>Заглушка нижней рейки, бок. фиксация</t>
  </si>
  <si>
    <t>Комплект потолочных кронштейнов, бок. фиксация</t>
  </si>
  <si>
    <t>Комплект стеновых кронштейнов, бок. фиксация</t>
  </si>
  <si>
    <t>Труба 55 мм (LVT) для моторизации</t>
  </si>
  <si>
    <t>Фиксатор троса, бок. фиксация</t>
  </si>
  <si>
    <t>Комплект для моторизации 55</t>
  </si>
  <si>
    <t>Зарядное устройство DC264,12.6В-1А,для приводов LE</t>
  </si>
  <si>
    <t xml:space="preserve">Расчет стоимости, классика АМГ c ЭП </t>
  </si>
  <si>
    <t>Крышка кронштейна 32 (пара), белая СК</t>
  </si>
  <si>
    <t>Труба 35 мм для моторизации</t>
  </si>
  <si>
    <t>Саморез, 2.9x6,5 DIN 7981 остроконечный</t>
  </si>
  <si>
    <t>Профиль монтажный (AMG), универсальный</t>
  </si>
  <si>
    <t>Крышка удл. кронштейна 32 для монт.профиля,пара СК</t>
  </si>
  <si>
    <t>Крышка удл. кронштейна 45 для монт.профиля СК</t>
  </si>
  <si>
    <t>Механизм упр.45 для монтажного профиля(комплект)СК</t>
  </si>
  <si>
    <t>Кольцо стопорное с винтом</t>
  </si>
  <si>
    <t>Крышка кронштейна 45 (пара), белая СК</t>
  </si>
  <si>
    <t>Трос металлический</t>
  </si>
  <si>
    <t>Привод DM25TE/L-1.5/32, 100-240В, ЭК, IC</t>
  </si>
  <si>
    <t>Привод DM25TE/S-1.5/32, с обратной связью</t>
  </si>
  <si>
    <t>Переходник AMG35</t>
  </si>
  <si>
    <t>Привод DM25LEU/L-1.1/28, АКБ</t>
  </si>
  <si>
    <t>Привод DM25LEU/S-1.1/28, АКБ, с обратной связью</t>
  </si>
  <si>
    <t>Переходник AMG45</t>
  </si>
  <si>
    <t>Привод DM35SL-6/28, №316, 230В</t>
  </si>
  <si>
    <t>Привод DM35F/Y-6/28, №316, 230В, радио</t>
  </si>
  <si>
    <t>Привод DM35F/SW-6/28, №316, 230В, Wi-Fi с обр.св.</t>
  </si>
  <si>
    <t>радио</t>
  </si>
  <si>
    <t>провод</t>
  </si>
  <si>
    <t>Привод DM35LE/S-6/24 №316, АКБ, с обратной связью</t>
  </si>
  <si>
    <t>радио АКБ</t>
  </si>
  <si>
    <t>радио АКБ и радио АКБ с обр связью</t>
  </si>
  <si>
    <t>радио с обр св</t>
  </si>
  <si>
    <t>радио и радио тихий</t>
  </si>
  <si>
    <t>радио АКБ с обр св</t>
  </si>
  <si>
    <t>Кол-во ЭП 55 с радиоуправлением о/с</t>
  </si>
  <si>
    <t>Кол-во ЭП 55 с радиоуправлением и АКБ о/с</t>
  </si>
  <si>
    <t>Необходимое кол-во кнопок управления (выбрать согласно типу), шт.</t>
  </si>
  <si>
    <t>дополнительная справка</t>
  </si>
  <si>
    <t>Кол-во ЭП 45 с проводным управлением</t>
  </si>
  <si>
    <t>Кол-во ЭП 45 с радиоуправлением</t>
  </si>
  <si>
    <t>Кол-во ЭП 45 с радиоуправлением и АКБ</t>
  </si>
  <si>
    <t>Кол-во ЭП 45 с радиоуправлением о/с</t>
  </si>
  <si>
    <t>Кол-во ЭП 35 с радиоуправлением и АКБ о/с</t>
  </si>
  <si>
    <t>Кол-во ЭП 35 с радиоуправлением</t>
  </si>
  <si>
    <t>Кол-во ЭП 35 с радиоуправлением и АКБ</t>
  </si>
  <si>
    <t>Кол-во ЭП 35 с радиоуправлением о/с</t>
  </si>
  <si>
    <t>Кол-во ЭП 45 с радиоуправлением и АКБ о/с</t>
  </si>
  <si>
    <t>Кол-во ЭП 55 с радиоуправлением Wifi</t>
  </si>
  <si>
    <t>Привод DM35F/S-6/28 №316, 230В, с обратной связью</t>
  </si>
  <si>
    <t>Wifi обр связь</t>
  </si>
  <si>
    <t>Адаптер для трубы 63мм LIFT</t>
  </si>
  <si>
    <t>Переходник DM35-труба 63мм LIFT</t>
  </si>
  <si>
    <t>Переходник DM45-труба 63мм LIFT</t>
  </si>
  <si>
    <t>Клипса для крепления кабеля 6 мм, белая</t>
  </si>
  <si>
    <t>Болт- гайка</t>
  </si>
  <si>
    <t>Привод DM45BECA/Y-50/12, 230В, радио</t>
  </si>
  <si>
    <t>Изделий 51мм, кол-во шт.</t>
  </si>
  <si>
    <t>Кронштейн потолочный для монт.профиля AMG L, белый</t>
  </si>
  <si>
    <t>Кронштейн для заглушки AMG L, белый, М/П</t>
  </si>
  <si>
    <t>Кронштейн для механизма/привода AMG L, белый, М/П</t>
  </si>
  <si>
    <t>Крышка кронштейна AMG L, белый, М/П</t>
  </si>
  <si>
    <t>Полоса-фиксатор 10мм</t>
  </si>
  <si>
    <t>Полоса пластиковая самоклеящаяся 17мм СК</t>
  </si>
  <si>
    <t>Труба 51мм</t>
  </si>
  <si>
    <t>Труба 65мм</t>
  </si>
  <si>
    <t>Профиль монтажный AMG L, белый</t>
  </si>
  <si>
    <t>Заглушка в трубу 51мм, белая</t>
  </si>
  <si>
    <t>Заглушка в трубу 65мм, белая</t>
  </si>
  <si>
    <t>Адаптер для трубы 51мм, AMG L, привод DM35</t>
  </si>
  <si>
    <t>Адаптер для трубы 65мм, AMG L, привод DM35</t>
  </si>
  <si>
    <t>Переходник для трубы 51мм, привод DM35</t>
  </si>
  <si>
    <t>Переходник для трубы 65мм, привод DM35</t>
  </si>
  <si>
    <t>Пластина для привода DM35, AMG L, металл</t>
  </si>
  <si>
    <t>Приводы: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</si>
  <si>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- провод,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- с обр. связью, </t>
    </r>
    <r>
      <rPr>
        <b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 xml:space="preserve">- WI-FI с обр. связью, </t>
    </r>
    <r>
      <rPr>
        <b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- радио,</t>
    </r>
    <r>
      <rPr>
        <b/>
        <sz val="8"/>
        <rFont val="Arial"/>
        <family val="2"/>
        <charset val="204"/>
      </rPr>
      <t>5</t>
    </r>
    <r>
      <rPr>
        <sz val="8"/>
        <rFont val="Arial"/>
        <family val="2"/>
        <charset val="204"/>
      </rPr>
      <t>- радио с АКБ,</t>
    </r>
    <r>
      <rPr>
        <b/>
        <sz val="8"/>
        <rFont val="Arial"/>
        <family val="2"/>
        <charset val="204"/>
      </rPr>
      <t xml:space="preserve"> 6</t>
    </r>
    <r>
      <rPr>
        <sz val="8"/>
        <rFont val="Arial"/>
        <family val="2"/>
        <charset val="204"/>
      </rPr>
      <t>- радио АКБ с обр. связью</t>
    </r>
  </si>
  <si>
    <t>Тип крепления</t>
  </si>
  <si>
    <t>0 - потолок</t>
  </si>
  <si>
    <t>1 - стена</t>
  </si>
  <si>
    <t>Кронштейн потолочный для кассеты AMG L, белый</t>
  </si>
  <si>
    <t>Кронштейн стеновой для кассеты AMG L, 70мм, металл</t>
  </si>
  <si>
    <t>Кронштейн для заглушки AMG L, белый</t>
  </si>
  <si>
    <t>Кронштейн для механизма/привода AMG L, белый</t>
  </si>
  <si>
    <t>Крышка боковая кассеты AMG L, пара, белая</t>
  </si>
  <si>
    <t>Профиль базовый кассеты AMG L, белый</t>
  </si>
  <si>
    <t>Профиль лицевой кассеты AMG L, белый</t>
  </si>
  <si>
    <t>Натяжитель цепи прозрачный</t>
  </si>
  <si>
    <t>Ширина 1  (м)</t>
  </si>
  <si>
    <t>Ширина 2  (м)</t>
  </si>
  <si>
    <t>Кронштейн MONO/DOUBLE AMG L, белый</t>
  </si>
  <si>
    <t>Заглушка в трубу 65мм DOUBLE, белая</t>
  </si>
  <si>
    <t>Ось DOUBLE AMG L</t>
  </si>
  <si>
    <t>Заглушка в трубу 51мм DOUBLE, белая</t>
  </si>
  <si>
    <t>Ширина общая  (м)</t>
  </si>
  <si>
    <t>Кол-во полотен ткани в изделии 51 мм, шт.</t>
  </si>
  <si>
    <t>2 или 3. ДЛЯ ЗАПОЛНЕНИЯ ВЫБРАТЬ ТОЛЬКО ОДНУ ИЗ СТРОЧЕК</t>
  </si>
  <si>
    <t>кол-во изделий, шт</t>
  </si>
  <si>
    <t>СТРОЧКА ОБЯЗАТЕЛЬНАЯ ДЛЯ ЗАПОЛНЕНИЯ</t>
  </si>
  <si>
    <t>Заглушка в трубу 51мм MONO, белая</t>
  </si>
  <si>
    <t>Заглушка в трубу 65мм MONO, белая</t>
  </si>
  <si>
    <t>Ось MONO AMG L</t>
  </si>
  <si>
    <t>Рейка нижняя L.</t>
  </si>
  <si>
    <t>Крышка нижней рейки М ,пара</t>
  </si>
  <si>
    <t>Крышка нижней рейки L,пара</t>
  </si>
  <si>
    <t>Лента уплотнющая 7 мм</t>
  </si>
  <si>
    <t>Полоса-фиксатор 9 мм</t>
  </si>
  <si>
    <t>Рейка нижняя М,белая</t>
  </si>
  <si>
    <t>Рейка нижняя L,белая</t>
  </si>
  <si>
    <t>Изделий 51мм с монт. профилеи, кол-во шт.</t>
  </si>
  <si>
    <t>Изделий 65 мм с монт профилем , кол-во шт.</t>
  </si>
  <si>
    <t>Крышка кронштейна AMG L,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</si>
</sst>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0;[Red]\-0.00000"/>
    <numFmt numFmtId="165" formatCode="0.000;[Red]\-0.000"/>
    <numFmt numFmtId="166" formatCode="0.0000;[Red]\-0.0000"/>
    <numFmt numFmtId="167" formatCode="0.000"/>
    <numFmt numFmtId="168" formatCode="#,##0.00;;;"/>
  </numFmts>
  <fonts count="45">
    <font>
      <sz val="8"/>
      <name val="Arial"/>
      <family val="2"/>
      <charset val="204"/>
    </font>
    <font>
      <sz val="8"/>
      <name val="Arial"/>
      <family val="2"/>
      <charset val="204"/>
    </font>
    <font>
      <b/>
      <sz val="20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sz val="8"/>
      <color indexed="10"/>
      <name val="Arial"/>
      <family val="2"/>
      <charset val="204"/>
    </font>
    <font>
      <sz val="8"/>
      <color indexed="10"/>
      <name val="Arial Cyr"/>
      <family val="2"/>
      <charset val="204"/>
    </font>
    <font>
      <sz val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rgb="FFFF0000"/>
      <name val="Arial"/>
      <family val="2"/>
      <charset val="204"/>
    </font>
    <font>
      <b/>
      <sz val="16"/>
      <name val="Arial"/>
      <family val="2"/>
      <charset val="204"/>
    </font>
    <font>
      <sz val="22"/>
      <name val="Arial"/>
      <family val="2"/>
      <charset val="204"/>
    </font>
    <font>
      <b/>
      <sz val="14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8"/>
      <name val="PF DinText Pro"/>
      <charset val="204"/>
    </font>
    <font>
      <b/>
      <sz val="8"/>
      <name val="PF DinText Pro"/>
      <charset val="204"/>
    </font>
    <font>
      <sz val="11"/>
      <color rgb="FF9C6500"/>
      <name val="PF DinText Pro"/>
      <charset val="204"/>
    </font>
    <font>
      <b/>
      <sz val="8"/>
      <color rgb="FFFF0000"/>
      <name val="PF DinText Pro"/>
      <charset val="204"/>
    </font>
    <font>
      <b/>
      <sz val="10"/>
      <name val="PF DinText Pro"/>
      <charset val="204"/>
    </font>
    <font>
      <sz val="8"/>
      <color indexed="8"/>
      <name val="PF DinText Pro"/>
      <charset val="204"/>
    </font>
    <font>
      <b/>
      <sz val="14"/>
      <name val="PF DinText Pro"/>
      <charset val="204"/>
    </font>
    <font>
      <b/>
      <sz val="16"/>
      <name val="PF DinText Pro"/>
      <charset val="204"/>
    </font>
    <font>
      <sz val="10"/>
      <name val="PF DinText Pro"/>
      <charset val="204"/>
    </font>
    <font>
      <sz val="10"/>
      <color rgb="FF9C6500"/>
      <name val="PF DinText Pro"/>
      <charset val="204"/>
    </font>
    <font>
      <sz val="12"/>
      <name val="Calibri"/>
      <family val="2"/>
      <charset val="204"/>
    </font>
    <font>
      <sz val="9"/>
      <color rgb="FF9C6500"/>
      <name val="PF DinText Pro"/>
      <charset val="204"/>
    </font>
    <font>
      <b/>
      <sz val="8"/>
      <color indexed="10"/>
      <name val="PF DinText Pro"/>
      <charset val="204"/>
    </font>
    <font>
      <sz val="9"/>
      <name val="PF DinText Pro"/>
      <charset val="204"/>
    </font>
    <font>
      <b/>
      <sz val="20"/>
      <name val="PF DinText Pro"/>
      <charset val="204"/>
    </font>
    <font>
      <sz val="10"/>
      <name val="Arial"/>
      <family val="2"/>
      <charset val="204"/>
    </font>
    <font>
      <sz val="12"/>
      <name val="PF DinText Pro"/>
      <charset val="204"/>
    </font>
    <font>
      <sz val="8"/>
      <color rgb="FFFF0000"/>
      <name val="Arial"/>
      <family val="2"/>
      <charset val="204"/>
    </font>
    <font>
      <b/>
      <sz val="18"/>
      <name val="Arial"/>
      <family val="2"/>
      <charset val="204"/>
    </font>
    <font>
      <sz val="8"/>
      <color theme="0"/>
      <name val="Arial"/>
      <family val="2"/>
      <charset val="204"/>
    </font>
    <font>
      <sz val="8"/>
      <name val="Franklin Gothic Book"/>
      <family val="2"/>
      <charset val="204"/>
    </font>
    <font>
      <sz val="11"/>
      <name val="Franklin Gothic Book"/>
      <family val="2"/>
      <charset val="204"/>
    </font>
    <font>
      <b/>
      <sz val="11"/>
      <color theme="1"/>
      <name val="Franklin Gothic Book"/>
      <family val="2"/>
      <charset val="204"/>
    </font>
    <font>
      <b/>
      <sz val="11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rgb="FFFFCCCC"/>
        <bgColor indexed="64"/>
      </patternFill>
    </fill>
    <fill>
      <patternFill patternType="solid">
        <fgColor rgb="FFD9EFD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AEDAB6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horizontal="left"/>
    </xf>
    <xf numFmtId="0" fontId="20" fillId="10" borderId="0" applyNumberFormat="0" applyBorder="0" applyAlignment="0" applyProtection="0"/>
  </cellStyleXfs>
  <cellXfs count="1346">
    <xf numFmtId="0" fontId="0" fillId="0" borderId="0" xfId="0" applyAlignment="1"/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/>
    <xf numFmtId="0" fontId="5" fillId="0" borderId="0" xfId="0" applyFont="1" applyAlignment="1"/>
    <xf numFmtId="0" fontId="6" fillId="0" borderId="7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3" fillId="2" borderId="17" xfId="0" applyFont="1" applyFill="1" applyBorder="1" applyAlignment="1"/>
    <xf numFmtId="0" fontId="0" fillId="4" borderId="7" xfId="0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0" fillId="3" borderId="2" xfId="0" applyFill="1" applyBorder="1" applyAlignment="1"/>
    <xf numFmtId="0" fontId="0" fillId="3" borderId="19" xfId="0" applyFill="1" applyBorder="1" applyAlignment="1"/>
    <xf numFmtId="0" fontId="0" fillId="3" borderId="0" xfId="0" applyFill="1" applyBorder="1" applyAlignment="1"/>
    <xf numFmtId="0" fontId="0" fillId="3" borderId="20" xfId="0" applyFill="1" applyBorder="1" applyAlignment="1"/>
    <xf numFmtId="0" fontId="0" fillId="3" borderId="3" xfId="0" applyFill="1" applyBorder="1" applyAlignment="1">
      <alignment horizontal="center"/>
    </xf>
    <xf numFmtId="0" fontId="0" fillId="3" borderId="21" xfId="0" applyFill="1" applyBorder="1" applyAlignment="1"/>
    <xf numFmtId="0" fontId="0" fillId="3" borderId="0" xfId="0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3" borderId="17" xfId="0" applyFill="1" applyBorder="1" applyAlignment="1"/>
    <xf numFmtId="0" fontId="0" fillId="3" borderId="22" xfId="0" applyFill="1" applyBorder="1" applyAlignment="1"/>
    <xf numFmtId="0" fontId="0" fillId="3" borderId="22" xfId="0" applyFill="1" applyBorder="1" applyAlignment="1">
      <alignment horizontal="center"/>
    </xf>
    <xf numFmtId="0" fontId="7" fillId="3" borderId="7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" xfId="0" applyNumberFormat="1" applyFont="1" applyFill="1" applyBorder="1" applyAlignment="1">
      <alignment horizontal="left"/>
    </xf>
    <xf numFmtId="0" fontId="0" fillId="3" borderId="3" xfId="0" applyFill="1" applyBorder="1" applyAlignment="1"/>
    <xf numFmtId="0" fontId="7" fillId="3" borderId="7" xfId="0" applyFont="1" applyFill="1" applyBorder="1">
      <alignment horizontal="left"/>
    </xf>
    <xf numFmtId="0" fontId="7" fillId="3" borderId="5" xfId="0" applyFont="1" applyFill="1" applyBorder="1">
      <alignment horizontal="left"/>
    </xf>
    <xf numFmtId="0" fontId="8" fillId="3" borderId="5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6" xfId="0" applyNumberFormat="1" applyFont="1" applyFill="1" applyBorder="1" applyAlignment="1">
      <alignment horizontal="left"/>
    </xf>
    <xf numFmtId="0" fontId="0" fillId="3" borderId="6" xfId="0" applyFill="1" applyBorder="1" applyAlignment="1"/>
    <xf numFmtId="0" fontId="0" fillId="3" borderId="4" xfId="0" applyFill="1" applyBorder="1" applyAlignment="1"/>
    <xf numFmtId="0" fontId="9" fillId="3" borderId="0" xfId="0" applyFont="1" applyFill="1" applyBorder="1" applyAlignment="1"/>
    <xf numFmtId="0" fontId="4" fillId="3" borderId="17" xfId="0" applyFont="1" applyFill="1" applyBorder="1" applyAlignment="1">
      <alignment horizontal="center"/>
    </xf>
    <xf numFmtId="0" fontId="9" fillId="3" borderId="23" xfId="0" applyFont="1" applyFill="1" applyBorder="1" applyAlignment="1"/>
    <xf numFmtId="0" fontId="0" fillId="3" borderId="26" xfId="0" applyFill="1" applyBorder="1" applyAlignment="1"/>
    <xf numFmtId="0" fontId="0" fillId="3" borderId="27" xfId="0" applyFill="1" applyBorder="1" applyAlignment="1"/>
    <xf numFmtId="0" fontId="4" fillId="3" borderId="21" xfId="0" applyFont="1" applyFill="1" applyBorder="1" applyAlignment="1">
      <alignment horizontal="right"/>
    </xf>
    <xf numFmtId="0" fontId="11" fillId="3" borderId="28" xfId="0" applyFont="1" applyFill="1" applyBorder="1" applyAlignment="1"/>
    <xf numFmtId="0" fontId="0" fillId="0" borderId="5" xfId="0" applyBorder="1" applyAlignment="1"/>
    <xf numFmtId="0" fontId="0" fillId="0" borderId="13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4" borderId="29" xfId="0" applyFill="1" applyBorder="1" applyAlignment="1">
      <alignment horizontal="left"/>
    </xf>
    <xf numFmtId="0" fontId="0" fillId="4" borderId="30" xfId="0" applyFill="1" applyBorder="1" applyAlignment="1">
      <alignment horizontal="left"/>
    </xf>
    <xf numFmtId="0" fontId="0" fillId="4" borderId="31" xfId="0" applyFill="1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4" borderId="30" xfId="0" applyFill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0" fillId="0" borderId="22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3" xfId="0" applyFill="1" applyBorder="1" applyAlignment="1"/>
    <xf numFmtId="0" fontId="0" fillId="0" borderId="23" xfId="0" applyFill="1" applyBorder="1" applyAlignment="1">
      <alignment horizontal="left" vertical="center"/>
    </xf>
    <xf numFmtId="0" fontId="5" fillId="5" borderId="36" xfId="0" applyFont="1" applyFill="1" applyBorder="1" applyAlignment="1">
      <alignment horizontal="center"/>
    </xf>
    <xf numFmtId="0" fontId="5" fillId="5" borderId="37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>
      <alignment horizontal="left" vertical="center"/>
    </xf>
    <xf numFmtId="0" fontId="0" fillId="0" borderId="0" xfId="0" applyFill="1" applyAlignment="1"/>
    <xf numFmtId="0" fontId="13" fillId="0" borderId="5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22" xfId="0" applyFont="1" applyBorder="1" applyAlignment="1">
      <alignment horizontal="center"/>
    </xf>
    <xf numFmtId="0" fontId="1" fillId="0" borderId="7" xfId="0" applyFont="1" applyBorder="1" applyAlignment="1"/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7" xfId="0" applyFont="1" applyBorder="1" applyAlignment="1"/>
    <xf numFmtId="0" fontId="13" fillId="0" borderId="17" xfId="0" applyFont="1" applyBorder="1" applyAlignment="1">
      <alignment wrapText="1"/>
    </xf>
    <xf numFmtId="0" fontId="13" fillId="0" borderId="46" xfId="0" applyFont="1" applyBorder="1" applyAlignment="1">
      <alignment wrapText="1"/>
    </xf>
    <xf numFmtId="0" fontId="13" fillId="0" borderId="8" xfId="0" applyFont="1" applyBorder="1" applyAlignment="1"/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Fill="1" applyBorder="1" applyAlignment="1">
      <alignment horizontal="left" vertical="center"/>
    </xf>
    <xf numFmtId="0" fontId="0" fillId="0" borderId="17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6" fillId="0" borderId="0" xfId="0" applyFont="1" applyFill="1" applyBorder="1" applyAlignment="1">
      <alignment horizontal="left"/>
    </xf>
    <xf numFmtId="165" fontId="6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5" fillId="5" borderId="17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/>
    </xf>
    <xf numFmtId="0" fontId="0" fillId="0" borderId="7" xfId="0" applyFill="1" applyBorder="1" applyAlignment="1">
      <alignment wrapText="1"/>
    </xf>
    <xf numFmtId="0" fontId="0" fillId="0" borderId="7" xfId="0" applyFill="1" applyBorder="1" applyAlignment="1"/>
    <xf numFmtId="0" fontId="0" fillId="3" borderId="19" xfId="0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0" fillId="3" borderId="7" xfId="0" applyFill="1" applyBorder="1" applyAlignment="1"/>
    <xf numFmtId="0" fontId="0" fillId="4" borderId="4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6" fillId="0" borderId="5" xfId="0" applyNumberFormat="1" applyFont="1" applyFill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0" fillId="7" borderId="7" xfId="0" applyFill="1" applyBorder="1" applyAlignment="1">
      <alignment horizontal="left"/>
    </xf>
    <xf numFmtId="0" fontId="0" fillId="7" borderId="17" xfId="0" applyFill="1" applyBorder="1" applyAlignment="1">
      <alignment horizontal="left"/>
    </xf>
    <xf numFmtId="0" fontId="0" fillId="7" borderId="46" xfId="0" applyFill="1" applyBorder="1" applyAlignment="1">
      <alignment horizontal="center"/>
    </xf>
    <xf numFmtId="0" fontId="5" fillId="4" borderId="22" xfId="0" applyFont="1" applyFill="1" applyBorder="1" applyAlignment="1">
      <alignment horizontal="center" vertical="center"/>
    </xf>
    <xf numFmtId="2" fontId="0" fillId="0" borderId="6" xfId="0" applyNumberFormat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0" fillId="7" borderId="47" xfId="0" applyFill="1" applyBorder="1" applyAlignment="1">
      <alignment horizontal="center"/>
    </xf>
    <xf numFmtId="0" fontId="0" fillId="3" borderId="5" xfId="0" applyFill="1" applyBorder="1" applyAlignment="1"/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4" fillId="3" borderId="21" xfId="0" applyFont="1" applyFill="1" applyBorder="1" applyAlignment="1">
      <alignment horizontal="center" vertical="center"/>
    </xf>
    <xf numFmtId="0" fontId="7" fillId="3" borderId="39" xfId="0" applyFont="1" applyFill="1" applyBorder="1">
      <alignment horizontal="left"/>
    </xf>
    <xf numFmtId="0" fontId="7" fillId="3" borderId="39" xfId="0" applyNumberFormat="1" applyFont="1" applyFill="1" applyBorder="1">
      <alignment horizontal="left"/>
    </xf>
    <xf numFmtId="0" fontId="0" fillId="3" borderId="39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0" fillId="3" borderId="48" xfId="0" applyFill="1" applyBorder="1" applyAlignment="1"/>
    <xf numFmtId="0" fontId="7" fillId="3" borderId="46" xfId="0" applyFont="1" applyFill="1" applyBorder="1" applyAlignment="1">
      <alignment horizontal="left"/>
    </xf>
    <xf numFmtId="0" fontId="7" fillId="3" borderId="6" xfId="0" applyFont="1" applyFill="1" applyBorder="1">
      <alignment horizontal="left"/>
    </xf>
    <xf numFmtId="0" fontId="8" fillId="3" borderId="5" xfId="0" applyNumberFormat="1" applyFont="1" applyFill="1" applyBorder="1" applyAlignment="1">
      <alignment horizontal="center"/>
    </xf>
    <xf numFmtId="0" fontId="7" fillId="3" borderId="39" xfId="0" applyNumberFormat="1" applyFont="1" applyFill="1" applyBorder="1" applyAlignment="1">
      <alignment horizontal="center"/>
    </xf>
    <xf numFmtId="0" fontId="7" fillId="3" borderId="6" xfId="0" applyNumberFormat="1" applyFont="1" applyFill="1" applyBorder="1" applyAlignment="1">
      <alignment horizontal="center"/>
    </xf>
    <xf numFmtId="0" fontId="0" fillId="4" borderId="31" xfId="0" applyFill="1" applyBorder="1" applyAlignment="1">
      <alignment horizontal="left" vertical="center"/>
    </xf>
    <xf numFmtId="0" fontId="0" fillId="4" borderId="59" xfId="0" applyFill="1" applyBorder="1" applyAlignment="1">
      <alignment horizontal="left" vertical="center"/>
    </xf>
    <xf numFmtId="0" fontId="0" fillId="3" borderId="3" xfId="0" applyFill="1" applyBorder="1" applyAlignment="1">
      <alignment horizontal="right"/>
    </xf>
    <xf numFmtId="0" fontId="0" fillId="3" borderId="4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0" borderId="37" xfId="0" applyBorder="1" applyAlignment="1">
      <alignment horizontal="center"/>
    </xf>
    <xf numFmtId="0" fontId="0" fillId="0" borderId="3" xfId="0" applyFill="1" applyBorder="1" applyAlignment="1">
      <alignment horizontal="right"/>
    </xf>
    <xf numFmtId="0" fontId="0" fillId="7" borderId="65" xfId="0" applyFill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4" borderId="46" xfId="0" applyFont="1" applyFill="1" applyBorder="1" applyAlignment="1">
      <alignment horizontal="center"/>
    </xf>
    <xf numFmtId="0" fontId="0" fillId="4" borderId="67" xfId="0" applyFill="1" applyBorder="1" applyAlignment="1">
      <alignment horizontal="left" vertical="center"/>
    </xf>
    <xf numFmtId="0" fontId="0" fillId="0" borderId="68" xfId="0" applyBorder="1" applyAlignment="1">
      <alignment horizontal="center"/>
    </xf>
    <xf numFmtId="0" fontId="0" fillId="0" borderId="46" xfId="0" applyFill="1" applyBorder="1" applyAlignment="1">
      <alignment horizontal="left"/>
    </xf>
    <xf numFmtId="2" fontId="0" fillId="0" borderId="39" xfId="0" applyNumberFormat="1" applyBorder="1" applyAlignment="1">
      <alignment horizontal="right"/>
    </xf>
    <xf numFmtId="0" fontId="0" fillId="7" borderId="26" xfId="0" applyFill="1" applyBorder="1" applyAlignment="1">
      <alignment horizontal="left"/>
    </xf>
    <xf numFmtId="0" fontId="4" fillId="6" borderId="67" xfId="0" applyFont="1" applyFill="1" applyBorder="1" applyAlignment="1">
      <alignment horizontal="center" wrapText="1"/>
    </xf>
    <xf numFmtId="0" fontId="4" fillId="6" borderId="60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ont="1" applyBorder="1" applyAlignment="1"/>
    <xf numFmtId="0" fontId="0" fillId="0" borderId="7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6" borderId="33" xfId="0" applyFont="1" applyFill="1" applyBorder="1" applyAlignment="1">
      <alignment wrapText="1"/>
    </xf>
    <xf numFmtId="0" fontId="4" fillId="6" borderId="59" xfId="0" applyFont="1" applyFill="1" applyBorder="1" applyAlignment="1">
      <alignment wrapText="1"/>
    </xf>
    <xf numFmtId="0" fontId="4" fillId="0" borderId="21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wrapText="1"/>
    </xf>
    <xf numFmtId="0" fontId="0" fillId="4" borderId="0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4" fillId="6" borderId="0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17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7" xfId="0" applyBorder="1" applyAlignment="1">
      <alignment vertical="top" wrapText="1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8" xfId="0" applyBorder="1" applyAlignment="1">
      <alignment vertical="top" wrapText="1"/>
    </xf>
    <xf numFmtId="0" fontId="1" fillId="0" borderId="6" xfId="0" applyFont="1" applyFill="1" applyBorder="1" applyAlignment="1">
      <alignment horizontal="center"/>
    </xf>
    <xf numFmtId="0" fontId="0" fillId="4" borderId="29" xfId="0" applyFill="1" applyBorder="1" applyAlignment="1">
      <alignment horizontal="left" vertical="center"/>
    </xf>
    <xf numFmtId="0" fontId="0" fillId="4" borderId="33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0" fillId="4" borderId="33" xfId="0" applyFill="1" applyBorder="1" applyAlignment="1">
      <alignment horizontal="left"/>
    </xf>
    <xf numFmtId="0" fontId="5" fillId="5" borderId="19" xfId="0" applyFont="1" applyFill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0" xfId="0" applyAlignment="1">
      <alignment wrapText="1"/>
    </xf>
    <xf numFmtId="0" fontId="0" fillId="7" borderId="47" xfId="0" applyFill="1" applyBorder="1" applyAlignment="1">
      <alignment horizontal="center" wrapText="1"/>
    </xf>
    <xf numFmtId="0" fontId="0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/>
    </xf>
    <xf numFmtId="0" fontId="0" fillId="7" borderId="16" xfId="0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7" borderId="5" xfId="0" applyFill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39" xfId="0" applyBorder="1" applyAlignment="1"/>
    <xf numFmtId="0" fontId="15" fillId="0" borderId="39" xfId="0" applyFont="1" applyFill="1" applyBorder="1" applyAlignment="1">
      <alignment horizontal="center" vertical="center"/>
    </xf>
    <xf numFmtId="0" fontId="0" fillId="8" borderId="5" xfId="0" applyFont="1" applyFill="1" applyBorder="1" applyAlignment="1">
      <alignment vertical="center"/>
    </xf>
    <xf numFmtId="2" fontId="15" fillId="0" borderId="54" xfId="0" applyNumberFormat="1" applyFont="1" applyFill="1" applyBorder="1" applyAlignment="1">
      <alignment horizontal="center" vertical="center" wrapText="1"/>
    </xf>
    <xf numFmtId="0" fontId="15" fillId="0" borderId="54" xfId="0" applyFont="1" applyFill="1" applyBorder="1" applyAlignment="1">
      <alignment horizontal="center" vertical="center"/>
    </xf>
    <xf numFmtId="0" fontId="0" fillId="8" borderId="5" xfId="0" applyFill="1" applyBorder="1" applyAlignment="1">
      <alignment vertical="top" wrapText="1"/>
    </xf>
    <xf numFmtId="0" fontId="0" fillId="7" borderId="16" xfId="0" applyFill="1" applyBorder="1" applyAlignment="1">
      <alignment horizontal="center" wrapText="1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4" borderId="17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46" xfId="0" applyFill="1" applyBorder="1" applyAlignment="1">
      <alignment horizontal="left"/>
    </xf>
    <xf numFmtId="0" fontId="0" fillId="4" borderId="8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21" xfId="0" applyBorder="1" applyAlignment="1">
      <alignment wrapText="1"/>
    </xf>
    <xf numFmtId="0" fontId="0" fillId="8" borderId="7" xfId="0" applyFill="1" applyBorder="1" applyAlignment="1">
      <alignment vertical="top" wrapText="1"/>
    </xf>
    <xf numFmtId="0" fontId="7" fillId="8" borderId="46" xfId="0" applyFont="1" applyFill="1" applyBorder="1" applyAlignment="1">
      <alignment horizontal="left"/>
    </xf>
    <xf numFmtId="0" fontId="7" fillId="8" borderId="8" xfId="0" applyFont="1" applyFill="1" applyBorder="1" applyAlignment="1">
      <alignment horizontal="left"/>
    </xf>
    <xf numFmtId="0" fontId="16" fillId="0" borderId="0" xfId="0" applyFont="1" applyBorder="1" applyAlignment="1"/>
    <xf numFmtId="0" fontId="0" fillId="0" borderId="0" xfId="0" applyFill="1" applyBorder="1" applyAlignment="1"/>
    <xf numFmtId="2" fontId="0" fillId="0" borderId="0" xfId="0" applyNumberFormat="1" applyAlignment="1"/>
    <xf numFmtId="2" fontId="0" fillId="0" borderId="5" xfId="0" applyNumberFormat="1" applyBorder="1" applyAlignment="1" applyProtection="1">
      <alignment horizontal="right"/>
      <protection locked="0"/>
    </xf>
    <xf numFmtId="2" fontId="0" fillId="0" borderId="39" xfId="0" applyNumberFormat="1" applyBorder="1" applyAlignment="1" applyProtection="1">
      <protection locked="0"/>
    </xf>
    <xf numFmtId="2" fontId="0" fillId="0" borderId="5" xfId="0" applyNumberFormat="1" applyBorder="1" applyAlignment="1" applyProtection="1">
      <protection locked="0"/>
    </xf>
    <xf numFmtId="2" fontId="0" fillId="0" borderId="6" xfId="0" applyNumberFormat="1" applyBorder="1" applyAlignment="1" applyProtection="1">
      <protection locked="0"/>
    </xf>
    <xf numFmtId="0" fontId="16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2" fontId="0" fillId="0" borderId="43" xfId="0" applyNumberFormat="1" applyBorder="1" applyAlignment="1" applyProtection="1">
      <alignment horizontal="center"/>
      <protection locked="0"/>
    </xf>
    <xf numFmtId="2" fontId="6" fillId="0" borderId="43" xfId="0" applyNumberFormat="1" applyFont="1" applyFill="1" applyBorder="1" applyAlignment="1" applyProtection="1">
      <alignment horizontal="center"/>
      <protection locked="0"/>
    </xf>
    <xf numFmtId="2" fontId="6" fillId="0" borderId="43" xfId="0" applyNumberFormat="1" applyFont="1" applyFill="1" applyBorder="1" applyAlignment="1" applyProtection="1">
      <alignment horizontal="center" vertical="center"/>
      <protection locked="0"/>
    </xf>
    <xf numFmtId="2" fontId="0" fillId="0" borderId="48" xfId="0" applyNumberFormat="1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vertical="center" textRotation="90"/>
    </xf>
    <xf numFmtId="2" fontId="6" fillId="0" borderId="58" xfId="0" applyNumberFormat="1" applyFont="1" applyFill="1" applyBorder="1" applyAlignment="1" applyProtection="1">
      <alignment horizontal="center"/>
      <protection locked="0"/>
    </xf>
    <xf numFmtId="2" fontId="6" fillId="0" borderId="5" xfId="0" applyNumberFormat="1" applyFont="1" applyFill="1" applyBorder="1" applyAlignment="1" applyProtection="1">
      <alignment horizontal="right"/>
      <protection hidden="1"/>
    </xf>
    <xf numFmtId="2" fontId="0" fillId="0" borderId="5" xfId="0" applyNumberFormat="1" applyBorder="1" applyAlignment="1" applyProtection="1">
      <alignment horizontal="right"/>
      <protection hidden="1"/>
    </xf>
    <xf numFmtId="2" fontId="6" fillId="0" borderId="5" xfId="0" applyNumberFormat="1" applyFont="1" applyFill="1" applyBorder="1" applyAlignment="1" applyProtection="1">
      <alignment horizontal="right" vertical="center"/>
      <protection hidden="1"/>
    </xf>
    <xf numFmtId="2" fontId="0" fillId="0" borderId="39" xfId="0" applyNumberFormat="1" applyBorder="1" applyAlignment="1" applyProtection="1">
      <protection hidden="1"/>
    </xf>
    <xf numFmtId="2" fontId="0" fillId="0" borderId="6" xfId="0" applyNumberFormat="1" applyBorder="1" applyAlignment="1" applyProtection="1">
      <protection hidden="1"/>
    </xf>
    <xf numFmtId="2" fontId="0" fillId="0" borderId="3" xfId="0" applyNumberFormat="1" applyBorder="1" applyAlignment="1" applyProtection="1">
      <protection hidden="1"/>
    </xf>
    <xf numFmtId="2" fontId="0" fillId="0" borderId="4" xfId="0" applyNumberFormat="1" applyBorder="1" applyAlignment="1" applyProtection="1">
      <protection hidden="1"/>
    </xf>
    <xf numFmtId="2" fontId="6" fillId="0" borderId="22" xfId="0" applyNumberFormat="1" applyFont="1" applyFill="1" applyBorder="1" applyAlignment="1" applyProtection="1">
      <alignment horizontal="right"/>
      <protection hidden="1"/>
    </xf>
    <xf numFmtId="2" fontId="0" fillId="0" borderId="5" xfId="0" applyNumberFormat="1" applyBorder="1" applyAlignment="1" applyProtection="1">
      <protection hidden="1"/>
    </xf>
    <xf numFmtId="2" fontId="0" fillId="0" borderId="3" xfId="0" applyNumberFormat="1" applyBorder="1" applyAlignment="1" applyProtection="1">
      <alignment horizontal="right"/>
      <protection hidden="1"/>
    </xf>
    <xf numFmtId="2" fontId="0" fillId="0" borderId="4" xfId="0" applyNumberFormat="1" applyBorder="1" applyAlignment="1" applyProtection="1">
      <alignment horizontal="right"/>
      <protection hidden="1"/>
    </xf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30" xfId="0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0" fillId="8" borderId="0" xfId="0" applyFill="1" applyBorder="1" applyAlignment="1">
      <alignment horizontal="left" vertical="center"/>
    </xf>
    <xf numFmtId="0" fontId="0" fillId="8" borderId="0" xfId="0" applyFill="1" applyBorder="1" applyAlignment="1"/>
    <xf numFmtId="0" fontId="4" fillId="8" borderId="55" xfId="0" applyFont="1" applyFill="1" applyBorder="1" applyAlignment="1">
      <alignment horizontal="left"/>
    </xf>
    <xf numFmtId="0" fontId="0" fillId="8" borderId="23" xfId="0" applyFill="1" applyBorder="1" applyAlignment="1">
      <alignment horizontal="left"/>
    </xf>
    <xf numFmtId="0" fontId="0" fillId="8" borderId="56" xfId="0" applyFill="1" applyBorder="1" applyAlignment="1">
      <alignment horizontal="left"/>
    </xf>
    <xf numFmtId="0" fontId="0" fillId="8" borderId="0" xfId="0" applyFill="1" applyAlignment="1"/>
    <xf numFmtId="0" fontId="4" fillId="4" borderId="5" xfId="0" applyFont="1" applyFill="1" applyBorder="1" applyAlignment="1">
      <alignment horizontal="left" vertical="center"/>
    </xf>
    <xf numFmtId="0" fontId="0" fillId="0" borderId="30" xfId="0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2" fontId="0" fillId="0" borderId="0" xfId="0" applyNumberFormat="1" applyFill="1" applyBorder="1" applyAlignment="1" applyProtection="1">
      <protection hidden="1"/>
    </xf>
    <xf numFmtId="0" fontId="9" fillId="0" borderId="0" xfId="0" applyFont="1" applyBorder="1" applyAlignment="1">
      <alignment wrapText="1"/>
    </xf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 wrapText="1"/>
      <protection locked="0"/>
    </xf>
    <xf numFmtId="0" fontId="20" fillId="0" borderId="0" xfId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center"/>
    </xf>
    <xf numFmtId="0" fontId="2" fillId="0" borderId="26" xfId="0" applyFont="1" applyBorder="1" applyAlignment="1"/>
    <xf numFmtId="0" fontId="21" fillId="0" borderId="0" xfId="0" applyFont="1" applyAlignment="1"/>
    <xf numFmtId="0" fontId="21" fillId="0" borderId="47" xfId="0" applyFont="1" applyFill="1" applyBorder="1" applyAlignment="1">
      <alignment vertical="center"/>
    </xf>
    <xf numFmtId="2" fontId="21" fillId="0" borderId="23" xfId="0" applyNumberFormat="1" applyFont="1" applyFill="1" applyBorder="1" applyAlignment="1" applyProtection="1">
      <alignment horizontal="center"/>
      <protection locked="0"/>
    </xf>
    <xf numFmtId="2" fontId="21" fillId="0" borderId="56" xfId="0" applyNumberFormat="1" applyFont="1" applyFill="1" applyBorder="1" applyAlignment="1" applyProtection="1">
      <protection hidden="1"/>
    </xf>
    <xf numFmtId="0" fontId="24" fillId="0" borderId="0" xfId="0" applyFont="1" applyBorder="1" applyAlignment="1"/>
    <xf numFmtId="0" fontId="21" fillId="0" borderId="7" xfId="0" applyFont="1" applyFill="1" applyBorder="1" applyAlignment="1"/>
    <xf numFmtId="0" fontId="21" fillId="0" borderId="43" xfId="0" applyFont="1" applyFill="1" applyBorder="1" applyAlignment="1" applyProtection="1">
      <alignment horizontal="center"/>
      <protection locked="0"/>
    </xf>
    <xf numFmtId="2" fontId="21" fillId="0" borderId="3" xfId="0" applyNumberFormat="1" applyFont="1" applyFill="1" applyBorder="1" applyAlignment="1" applyProtection="1">
      <protection hidden="1"/>
    </xf>
    <xf numFmtId="0" fontId="21" fillId="0" borderId="0" xfId="0" applyFont="1" applyBorder="1" applyAlignment="1"/>
    <xf numFmtId="2" fontId="21" fillId="0" borderId="43" xfId="0" applyNumberFormat="1" applyFont="1" applyFill="1" applyBorder="1" applyAlignment="1" applyProtection="1">
      <alignment horizontal="center"/>
      <protection locked="0"/>
    </xf>
    <xf numFmtId="2" fontId="21" fillId="0" borderId="41" xfId="0" applyNumberFormat="1" applyFont="1" applyFill="1" applyBorder="1" applyAlignment="1" applyProtection="1">
      <protection hidden="1"/>
    </xf>
    <xf numFmtId="0" fontId="21" fillId="0" borderId="7" xfId="0" applyFont="1" applyFill="1" applyBorder="1" applyAlignment="1">
      <alignment vertical="center"/>
    </xf>
    <xf numFmtId="2" fontId="21" fillId="0" borderId="43" xfId="0" applyNumberFormat="1" applyFont="1" applyFill="1" applyBorder="1" applyAlignment="1" applyProtection="1">
      <alignment horizontal="center" wrapText="1"/>
      <protection locked="0"/>
    </xf>
    <xf numFmtId="2" fontId="21" fillId="0" borderId="42" xfId="0" applyNumberFormat="1" applyFont="1" applyFill="1" applyBorder="1" applyAlignment="1" applyProtection="1">
      <alignment horizontal="center"/>
      <protection locked="0"/>
    </xf>
    <xf numFmtId="2" fontId="21" fillId="0" borderId="25" xfId="0" applyNumberFormat="1" applyFont="1" applyFill="1" applyBorder="1" applyAlignment="1" applyProtection="1">
      <protection hidden="1"/>
    </xf>
    <xf numFmtId="0" fontId="21" fillId="0" borderId="8" xfId="0" applyFont="1" applyFill="1" applyBorder="1" applyAlignment="1">
      <alignment vertical="center"/>
    </xf>
    <xf numFmtId="2" fontId="21" fillId="0" borderId="48" xfId="0" applyNumberFormat="1" applyFont="1" applyFill="1" applyBorder="1" applyAlignment="1" applyProtection="1">
      <alignment horizontal="center"/>
      <protection locked="0"/>
    </xf>
    <xf numFmtId="2" fontId="21" fillId="0" borderId="4" xfId="0" applyNumberFormat="1" applyFont="1" applyFill="1" applyBorder="1" applyAlignment="1" applyProtection="1">
      <protection hidden="1"/>
    </xf>
    <xf numFmtId="0" fontId="21" fillId="0" borderId="0" xfId="0" applyFont="1" applyFill="1" applyBorder="1" applyAlignment="1">
      <alignment vertical="center"/>
    </xf>
    <xf numFmtId="0" fontId="23" fillId="0" borderId="0" xfId="1" applyFont="1" applyFill="1" applyBorder="1" applyAlignment="1">
      <alignment horizontal="left"/>
    </xf>
    <xf numFmtId="2" fontId="21" fillId="0" borderId="0" xfId="0" applyNumberFormat="1" applyFont="1" applyFill="1" applyBorder="1" applyAlignment="1" applyProtection="1">
      <alignment horizontal="center"/>
      <protection locked="0"/>
    </xf>
    <xf numFmtId="2" fontId="21" fillId="0" borderId="0" xfId="0" applyNumberFormat="1" applyFont="1" applyFill="1" applyBorder="1" applyAlignment="1" applyProtection="1">
      <protection hidden="1"/>
    </xf>
    <xf numFmtId="0" fontId="25" fillId="0" borderId="0" xfId="0" applyFont="1" applyAlignment="1"/>
    <xf numFmtId="0" fontId="21" fillId="0" borderId="0" xfId="0" applyFont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left"/>
    </xf>
    <xf numFmtId="2" fontId="26" fillId="0" borderId="5" xfId="0" applyNumberFormat="1" applyFont="1" applyFill="1" applyBorder="1" applyAlignment="1" applyProtection="1">
      <alignment horizontal="right"/>
      <protection hidden="1"/>
    </xf>
    <xf numFmtId="2" fontId="26" fillId="0" borderId="5" xfId="0" applyNumberFormat="1" applyFont="1" applyFill="1" applyBorder="1" applyAlignment="1" applyProtection="1">
      <alignment horizontal="center"/>
      <protection locked="0"/>
    </xf>
    <xf numFmtId="2" fontId="21" fillId="0" borderId="3" xfId="0" applyNumberFormat="1" applyFont="1" applyBorder="1" applyAlignment="1" applyProtection="1">
      <protection hidden="1"/>
    </xf>
    <xf numFmtId="2" fontId="21" fillId="0" borderId="0" xfId="0" applyNumberFormat="1" applyFont="1" applyBorder="1" applyAlignment="1" applyProtection="1">
      <protection hidden="1"/>
    </xf>
    <xf numFmtId="0" fontId="21" fillId="0" borderId="7" xfId="0" applyFont="1" applyFill="1" applyBorder="1" applyAlignment="1">
      <alignment horizontal="left"/>
    </xf>
    <xf numFmtId="2" fontId="21" fillId="0" borderId="5" xfId="0" applyNumberFormat="1" applyFont="1" applyBorder="1" applyAlignment="1" applyProtection="1">
      <alignment horizontal="right"/>
      <protection hidden="1"/>
    </xf>
    <xf numFmtId="2" fontId="21" fillId="0" borderId="5" xfId="0" applyNumberFormat="1" applyFont="1" applyBorder="1" applyAlignment="1" applyProtection="1">
      <alignment horizontal="center"/>
      <protection locked="0"/>
    </xf>
    <xf numFmtId="0" fontId="21" fillId="0" borderId="0" xfId="0" applyFont="1" applyFill="1" applyAlignment="1"/>
    <xf numFmtId="2" fontId="26" fillId="0" borderId="5" xfId="0" applyNumberFormat="1" applyFont="1" applyFill="1" applyBorder="1" applyAlignment="1" applyProtection="1">
      <alignment horizontal="right" vertical="center"/>
      <protection hidden="1"/>
    </xf>
    <xf numFmtId="2" fontId="26" fillId="0" borderId="5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wrapText="1"/>
    </xf>
    <xf numFmtId="2" fontId="21" fillId="0" borderId="43" xfId="0" applyNumberFormat="1" applyFont="1" applyBorder="1" applyAlignment="1" applyProtection="1">
      <alignment horizontal="center"/>
      <protection locked="0"/>
    </xf>
    <xf numFmtId="2" fontId="21" fillId="0" borderId="5" xfId="0" applyNumberFormat="1" applyFont="1" applyBorder="1" applyAlignment="1" applyProtection="1">
      <protection hidden="1"/>
    </xf>
    <xf numFmtId="2" fontId="21" fillId="0" borderId="5" xfId="0" applyNumberFormat="1" applyFont="1" applyBorder="1" applyAlignment="1" applyProtection="1">
      <alignment horizontal="center" wrapText="1"/>
      <protection locked="0"/>
    </xf>
    <xf numFmtId="0" fontId="21" fillId="8" borderId="7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7" fillId="0" borderId="0" xfId="0" applyFont="1" applyBorder="1" applyAlignment="1">
      <alignment vertical="center" textRotation="90"/>
    </xf>
    <xf numFmtId="0" fontId="28" fillId="0" borderId="0" xfId="0" applyFont="1" applyBorder="1" applyAlignment="1">
      <alignment vertical="center" textRotation="90"/>
    </xf>
    <xf numFmtId="2" fontId="25" fillId="0" borderId="0" xfId="0" applyNumberFormat="1" applyFont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1" fillId="0" borderId="57" xfId="0" applyFont="1" applyBorder="1" applyAlignment="1">
      <alignment horizontal="center"/>
    </xf>
    <xf numFmtId="0" fontId="21" fillId="0" borderId="58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1" fillId="0" borderId="79" xfId="0" applyFont="1" applyBorder="1" applyAlignment="1">
      <alignment horizontal="center"/>
    </xf>
    <xf numFmtId="0" fontId="21" fillId="0" borderId="72" xfId="0" applyFont="1" applyBorder="1" applyAlignment="1">
      <alignment horizontal="center"/>
    </xf>
    <xf numFmtId="0" fontId="21" fillId="0" borderId="80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1" fillId="0" borderId="24" xfId="0" applyNumberFormat="1" applyFont="1" applyBorder="1" applyAlignment="1">
      <alignment horizontal="center"/>
    </xf>
    <xf numFmtId="0" fontId="21" fillId="0" borderId="77" xfId="0" applyFont="1" applyBorder="1" applyAlignment="1">
      <alignment horizontal="center"/>
    </xf>
    <xf numFmtId="0" fontId="21" fillId="0" borderId="76" xfId="0" applyFont="1" applyBorder="1" applyAlignment="1">
      <alignment horizontal="center"/>
    </xf>
    <xf numFmtId="0" fontId="29" fillId="5" borderId="17" xfId="0" applyFont="1" applyFill="1" applyBorder="1" applyAlignment="1">
      <alignment horizontal="center" vertical="center"/>
    </xf>
    <xf numFmtId="0" fontId="29" fillId="5" borderId="22" xfId="0" applyFont="1" applyFill="1" applyBorder="1" applyAlignment="1">
      <alignment horizontal="center" vertical="center"/>
    </xf>
    <xf numFmtId="0" fontId="29" fillId="9" borderId="22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/>
    </xf>
    <xf numFmtId="0" fontId="21" fillId="9" borderId="74" xfId="0" applyFont="1" applyFill="1" applyBorder="1" applyAlignment="1">
      <alignment horizontal="center" vertical="center"/>
    </xf>
    <xf numFmtId="0" fontId="21" fillId="9" borderId="40" xfId="0" applyFont="1" applyFill="1" applyBorder="1" applyAlignment="1">
      <alignment horizontal="center" vertical="center"/>
    </xf>
    <xf numFmtId="0" fontId="21" fillId="9" borderId="75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1" fillId="8" borderId="66" xfId="0" applyFont="1" applyFill="1" applyBorder="1" applyAlignment="1">
      <alignment vertical="center"/>
    </xf>
    <xf numFmtId="2" fontId="21" fillId="0" borderId="68" xfId="0" applyNumberFormat="1" applyFont="1" applyBorder="1" applyAlignment="1" applyProtection="1">
      <protection hidden="1"/>
    </xf>
    <xf numFmtId="2" fontId="21" fillId="0" borderId="68" xfId="0" applyNumberFormat="1" applyFont="1" applyBorder="1" applyAlignment="1" applyProtection="1">
      <alignment horizontal="center"/>
      <protection locked="0"/>
    </xf>
    <xf numFmtId="2" fontId="21" fillId="0" borderId="76" xfId="0" applyNumberFormat="1" applyFont="1" applyBorder="1" applyAlignment="1" applyProtection="1">
      <protection hidden="1"/>
    </xf>
    <xf numFmtId="2" fontId="29" fillId="0" borderId="70" xfId="0" applyNumberFormat="1" applyFont="1" applyBorder="1" applyAlignment="1">
      <alignment horizontal="right"/>
    </xf>
    <xf numFmtId="0" fontId="30" fillId="10" borderId="23" xfId="1" applyFont="1" applyBorder="1" applyAlignment="1">
      <alignment horizontal="left"/>
    </xf>
    <xf numFmtId="0" fontId="30" fillId="10" borderId="5" xfId="1" applyFont="1" applyBorder="1" applyAlignment="1">
      <alignment horizontal="left"/>
    </xf>
    <xf numFmtId="0" fontId="30" fillId="10" borderId="6" xfId="1" applyFont="1" applyBorder="1" applyAlignment="1">
      <alignment horizontal="left"/>
    </xf>
    <xf numFmtId="0" fontId="31" fillId="9" borderId="4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2" fontId="21" fillId="0" borderId="5" xfId="0" applyNumberFormat="1" applyFont="1" applyFill="1" applyBorder="1" applyAlignment="1" applyProtection="1">
      <alignment horizontal="center"/>
      <protection locked="0"/>
    </xf>
    <xf numFmtId="2" fontId="26" fillId="0" borderId="43" xfId="0" applyNumberFormat="1" applyFont="1" applyFill="1" applyBorder="1" applyAlignment="1" applyProtection="1">
      <alignment horizontal="center"/>
      <protection locked="0"/>
    </xf>
    <xf numFmtId="1" fontId="21" fillId="0" borderId="43" xfId="0" applyNumberFormat="1" applyFont="1" applyBorder="1" applyAlignment="1" applyProtection="1">
      <alignment horizontal="center"/>
      <protection locked="0"/>
    </xf>
    <xf numFmtId="2" fontId="26" fillId="0" borderId="43" xfId="0" applyNumberFormat="1" applyFont="1" applyFill="1" applyBorder="1" applyAlignment="1" applyProtection="1">
      <alignment horizontal="center" vertical="center"/>
      <protection locked="0"/>
    </xf>
    <xf numFmtId="2" fontId="21" fillId="0" borderId="39" xfId="0" applyNumberFormat="1" applyFont="1" applyBorder="1" applyAlignment="1" applyProtection="1">
      <protection hidden="1"/>
    </xf>
    <xf numFmtId="2" fontId="21" fillId="0" borderId="41" xfId="0" applyNumberFormat="1" applyFont="1" applyBorder="1" applyAlignment="1" applyProtection="1">
      <protection hidden="1"/>
    </xf>
    <xf numFmtId="2" fontId="21" fillId="0" borderId="43" xfId="0" applyNumberFormat="1" applyFont="1" applyBorder="1" applyAlignment="1" applyProtection="1">
      <alignment horizontal="center" wrapText="1"/>
      <protection locked="0"/>
    </xf>
    <xf numFmtId="2" fontId="21" fillId="0" borderId="6" xfId="0" applyNumberFormat="1" applyFont="1" applyBorder="1" applyAlignment="1" applyProtection="1">
      <protection hidden="1"/>
    </xf>
    <xf numFmtId="2" fontId="21" fillId="0" borderId="6" xfId="0" applyNumberFormat="1" applyFont="1" applyBorder="1" applyAlignment="1" applyProtection="1">
      <alignment horizontal="center"/>
      <protection locked="0"/>
    </xf>
    <xf numFmtId="2" fontId="21" fillId="0" borderId="4" xfId="0" applyNumberFormat="1" applyFont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1" fillId="12" borderId="17" xfId="0" applyFont="1" applyFill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9" borderId="74" xfId="0" applyFont="1" applyFill="1" applyBorder="1" applyAlignment="1" applyProtection="1">
      <alignment horizontal="center" vertical="center"/>
      <protection hidden="1"/>
    </xf>
    <xf numFmtId="0" fontId="21" fillId="9" borderId="40" xfId="0" applyFont="1" applyFill="1" applyBorder="1" applyAlignment="1" applyProtection="1">
      <alignment horizontal="center" vertical="center"/>
      <protection hidden="1"/>
    </xf>
    <xf numFmtId="0" fontId="21" fillId="9" borderId="75" xfId="0" applyFont="1" applyFill="1" applyBorder="1" applyAlignment="1" applyProtection="1">
      <alignment horizontal="center" vertical="center"/>
      <protection hidden="1"/>
    </xf>
    <xf numFmtId="0" fontId="21" fillId="12" borderId="8" xfId="0" applyFont="1" applyFill="1" applyBorder="1" applyAlignment="1" applyProtection="1">
      <alignment horizontal="center"/>
      <protection hidden="1"/>
    </xf>
    <xf numFmtId="0" fontId="21" fillId="0" borderId="47" xfId="0" applyFont="1" applyFill="1" applyBorder="1" applyAlignment="1" applyProtection="1">
      <alignment vertical="center"/>
      <protection hidden="1"/>
    </xf>
    <xf numFmtId="0" fontId="32" fillId="10" borderId="23" xfId="1" applyFont="1" applyBorder="1" applyAlignment="1" applyProtection="1">
      <alignment horizontal="center" vertical="center"/>
      <protection hidden="1"/>
    </xf>
    <xf numFmtId="0" fontId="21" fillId="12" borderId="36" xfId="0" applyFont="1" applyFill="1" applyBorder="1" applyAlignment="1" applyProtection="1">
      <alignment horizontal="center"/>
      <protection hidden="1"/>
    </xf>
    <xf numFmtId="0" fontId="21" fillId="0" borderId="7" xfId="0" applyFont="1" applyFill="1" applyBorder="1" applyAlignment="1" applyProtection="1">
      <alignment vertical="center"/>
      <protection hidden="1"/>
    </xf>
    <xf numFmtId="0" fontId="21" fillId="12" borderId="7" xfId="0" applyFont="1" applyFill="1" applyBorder="1" applyAlignment="1" applyProtection="1">
      <alignment horizontal="center"/>
      <protection hidden="1"/>
    </xf>
    <xf numFmtId="0" fontId="21" fillId="0" borderId="7" xfId="0" applyFont="1" applyFill="1" applyBorder="1" applyAlignment="1" applyProtection="1">
      <protection hidden="1"/>
    </xf>
    <xf numFmtId="0" fontId="21" fillId="12" borderId="47" xfId="0" applyFont="1" applyFill="1" applyBorder="1" applyAlignment="1" applyProtection="1">
      <alignment horizontal="center"/>
      <protection hidden="1"/>
    </xf>
    <xf numFmtId="0" fontId="21" fillId="0" borderId="22" xfId="0" applyFont="1" applyBorder="1" applyAlignment="1" applyProtection="1">
      <alignment horizontal="center"/>
      <protection hidden="1"/>
    </xf>
    <xf numFmtId="0" fontId="21" fillId="0" borderId="58" xfId="0" applyFont="1" applyBorder="1" applyAlignment="1" applyProtection="1">
      <alignment horizontal="center"/>
      <protection hidden="1"/>
    </xf>
    <xf numFmtId="0" fontId="21" fillId="0" borderId="23" xfId="0" applyFont="1" applyBorder="1" applyAlignment="1" applyProtection="1">
      <alignment horizontal="center"/>
      <protection hidden="1"/>
    </xf>
    <xf numFmtId="0" fontId="21" fillId="0" borderId="42" xfId="0" applyFont="1" applyBorder="1" applyAlignment="1" applyProtection="1">
      <alignment horizontal="center"/>
      <protection hidden="1"/>
    </xf>
    <xf numFmtId="0" fontId="21" fillId="0" borderId="5" xfId="0" applyFont="1" applyBorder="1" applyAlignment="1" applyProtection="1">
      <alignment horizontal="center"/>
      <protection hidden="1"/>
    </xf>
    <xf numFmtId="0" fontId="21" fillId="0" borderId="43" xfId="0" applyFont="1" applyBorder="1" applyAlignment="1" applyProtection="1">
      <alignment horizontal="center"/>
      <protection hidden="1"/>
    </xf>
    <xf numFmtId="0" fontId="22" fillId="0" borderId="0" xfId="0" applyNumberFormat="1" applyFont="1" applyBorder="1" applyAlignment="1" applyProtection="1">
      <alignment horizontal="center"/>
      <protection hidden="1"/>
    </xf>
    <xf numFmtId="0" fontId="21" fillId="0" borderId="68" xfId="0" applyFont="1" applyBorder="1" applyAlignment="1" applyProtection="1">
      <alignment horizontal="center"/>
      <protection hidden="1"/>
    </xf>
    <xf numFmtId="0" fontId="21" fillId="0" borderId="72" xfId="0" applyFont="1" applyBorder="1" applyAlignment="1" applyProtection="1">
      <alignment horizontal="center"/>
      <protection hidden="1"/>
    </xf>
    <xf numFmtId="0" fontId="21" fillId="12" borderId="74" xfId="0" applyFont="1" applyFill="1" applyBorder="1" applyAlignment="1" applyProtection="1">
      <alignment horizontal="center"/>
      <protection hidden="1"/>
    </xf>
    <xf numFmtId="0" fontId="21" fillId="0" borderId="79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0" xfId="0" applyNumberFormat="1" applyFont="1" applyBorder="1" applyAlignment="1" applyProtection="1">
      <alignment horizontal="center"/>
      <protection hidden="1"/>
    </xf>
    <xf numFmtId="0" fontId="21" fillId="0" borderId="40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2" fillId="0" borderId="0" xfId="0" applyFont="1" applyBorder="1" applyAlignment="1" applyProtection="1">
      <alignment horizontal="center"/>
      <protection hidden="1"/>
    </xf>
    <xf numFmtId="0" fontId="21" fillId="0" borderId="75" xfId="0" applyFont="1" applyBorder="1" applyAlignment="1" applyProtection="1">
      <alignment horizontal="center"/>
      <protection hidden="1"/>
    </xf>
    <xf numFmtId="0" fontId="21" fillId="0" borderId="8" xfId="0" applyFont="1" applyFill="1" applyBorder="1" applyAlignment="1" applyProtection="1">
      <alignment vertical="center"/>
      <protection hidden="1"/>
    </xf>
    <xf numFmtId="0" fontId="32" fillId="10" borderId="68" xfId="1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protection hidden="1"/>
    </xf>
    <xf numFmtId="0" fontId="21" fillId="12" borderId="66" xfId="0" applyFont="1" applyFill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0" xfId="0" applyFont="1" applyFill="1" applyAlignment="1" applyProtection="1">
      <protection hidden="1"/>
    </xf>
    <xf numFmtId="0" fontId="29" fillId="5" borderId="17" xfId="0" applyFont="1" applyFill="1" applyBorder="1" applyAlignment="1" applyProtection="1">
      <alignment horizontal="center" vertical="center"/>
      <protection hidden="1"/>
    </xf>
    <xf numFmtId="0" fontId="29" fillId="5" borderId="22" xfId="0" applyFont="1" applyFill="1" applyBorder="1" applyAlignment="1" applyProtection="1">
      <alignment horizontal="center" vertical="center"/>
      <protection hidden="1"/>
    </xf>
    <xf numFmtId="0" fontId="29" fillId="9" borderId="58" xfId="0" applyFont="1" applyFill="1" applyBorder="1" applyAlignment="1" applyProtection="1">
      <alignment horizontal="center" vertical="center"/>
      <protection hidden="1"/>
    </xf>
    <xf numFmtId="0" fontId="29" fillId="5" borderId="19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6" fillId="0" borderId="7" xfId="0" applyFont="1" applyFill="1" applyBorder="1" applyAlignment="1" applyProtection="1">
      <alignment horizontal="left"/>
      <protection hidden="1"/>
    </xf>
    <xf numFmtId="0" fontId="21" fillId="0" borderId="0" xfId="0" applyFont="1" applyBorder="1" applyAlignment="1" applyProtection="1">
      <alignment horizontal="center" wrapText="1"/>
      <protection hidden="1"/>
    </xf>
    <xf numFmtId="0" fontId="21" fillId="0" borderId="7" xfId="0" applyFont="1" applyFill="1" applyBorder="1" applyAlignment="1" applyProtection="1">
      <alignment horizontal="left"/>
      <protection hidden="1"/>
    </xf>
    <xf numFmtId="0" fontId="21" fillId="8" borderId="7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protection hidden="1"/>
    </xf>
    <xf numFmtId="0" fontId="21" fillId="8" borderId="8" xfId="0" applyFont="1" applyFill="1" applyBorder="1" applyAlignment="1" applyProtection="1">
      <alignment vertical="center"/>
      <protection hidden="1"/>
    </xf>
    <xf numFmtId="0" fontId="29" fillId="0" borderId="0" xfId="0" applyFont="1" applyAlignment="1" applyProtection="1">
      <alignment horizontal="center"/>
      <protection hidden="1"/>
    </xf>
    <xf numFmtId="2" fontId="0" fillId="0" borderId="70" xfId="0" applyNumberFormat="1" applyBorder="1" applyAlignment="1" applyProtection="1">
      <protection hidden="1"/>
    </xf>
    <xf numFmtId="2" fontId="21" fillId="0" borderId="0" xfId="0" applyNumberFormat="1" applyFont="1" applyAlignment="1" applyProtection="1">
      <protection hidden="1"/>
    </xf>
    <xf numFmtId="2" fontId="21" fillId="0" borderId="22" xfId="0" applyNumberFormat="1" applyFont="1" applyBorder="1" applyAlignment="1" applyProtection="1">
      <alignment horizontal="right"/>
      <protection locked="0"/>
    </xf>
    <xf numFmtId="2" fontId="21" fillId="0" borderId="6" xfId="0" applyNumberFormat="1" applyFont="1" applyBorder="1" applyAlignment="1" applyProtection="1">
      <alignment horizontal="right"/>
      <protection locked="0"/>
    </xf>
    <xf numFmtId="0" fontId="21" fillId="0" borderId="37" xfId="0" applyNumberFormat="1" applyFont="1" applyBorder="1" applyAlignment="1" applyProtection="1">
      <alignment horizontal="right"/>
      <protection locked="0"/>
    </xf>
    <xf numFmtId="0" fontId="21" fillId="0" borderId="5" xfId="0" applyNumberFormat="1" applyFont="1" applyBorder="1" applyAlignment="1" applyProtection="1">
      <alignment horizontal="right"/>
      <protection locked="0"/>
    </xf>
    <xf numFmtId="0" fontId="21" fillId="0" borderId="23" xfId="0" applyNumberFormat="1" applyFont="1" applyBorder="1" applyAlignment="1" applyProtection="1">
      <alignment horizontal="right"/>
      <protection locked="0"/>
    </xf>
    <xf numFmtId="0" fontId="21" fillId="0" borderId="6" xfId="0" applyNumberFormat="1" applyFont="1" applyBorder="1" applyAlignment="1" applyProtection="1">
      <alignment horizontal="right"/>
      <protection locked="0"/>
    </xf>
    <xf numFmtId="0" fontId="21" fillId="0" borderId="22" xfId="0" applyNumberFormat="1" applyFont="1" applyBorder="1" applyAlignment="1" applyProtection="1">
      <alignment horizontal="right"/>
      <protection locked="0"/>
    </xf>
    <xf numFmtId="0" fontId="21" fillId="0" borderId="40" xfId="0" applyNumberFormat="1" applyFont="1" applyBorder="1" applyAlignment="1" applyProtection="1">
      <alignment horizontal="right"/>
      <protection locked="0"/>
    </xf>
    <xf numFmtId="0" fontId="21" fillId="0" borderId="68" xfId="0" applyNumberFormat="1" applyFont="1" applyBorder="1" applyAlignment="1" applyProtection="1">
      <alignment horizontal="right"/>
      <protection locked="0"/>
    </xf>
    <xf numFmtId="0" fontId="18" fillId="0" borderId="0" xfId="0" applyFont="1" applyFill="1" applyBorder="1" applyAlignment="1">
      <alignment vertical="center"/>
    </xf>
    <xf numFmtId="0" fontId="21" fillId="0" borderId="25" xfId="0" applyFont="1" applyBorder="1" applyAlignment="1" applyProtection="1">
      <protection hidden="1"/>
    </xf>
    <xf numFmtId="0" fontId="21" fillId="0" borderId="76" xfId="0" applyFont="1" applyBorder="1" applyAlignment="1" applyProtection="1">
      <protection hidden="1"/>
    </xf>
    <xf numFmtId="0" fontId="21" fillId="11" borderId="75" xfId="0" applyFont="1" applyFill="1" applyBorder="1" applyAlignment="1" applyProtection="1">
      <protection hidden="1"/>
    </xf>
    <xf numFmtId="0" fontId="21" fillId="0" borderId="80" xfId="0" applyFont="1" applyBorder="1" applyAlignment="1" applyProtection="1">
      <alignment horizontal="center"/>
      <protection hidden="1"/>
    </xf>
    <xf numFmtId="0" fontId="21" fillId="0" borderId="39" xfId="0" applyNumberFormat="1" applyFont="1" applyBorder="1" applyAlignment="1" applyProtection="1">
      <alignment horizontal="right"/>
      <protection locked="0"/>
    </xf>
    <xf numFmtId="2" fontId="21" fillId="0" borderId="48" xfId="0" applyNumberFormat="1" applyFont="1" applyBorder="1" applyAlignment="1" applyProtection="1">
      <alignment horizontal="center"/>
      <protection locked="0"/>
    </xf>
    <xf numFmtId="2" fontId="21" fillId="0" borderId="70" xfId="0" applyNumberFormat="1" applyFont="1" applyBorder="1" applyAlignment="1" applyProtection="1">
      <protection hidden="1"/>
    </xf>
    <xf numFmtId="2" fontId="21" fillId="0" borderId="76" xfId="0" applyNumberFormat="1" applyFont="1" applyFill="1" applyBorder="1" applyAlignment="1" applyProtection="1">
      <protection hidden="1"/>
    </xf>
    <xf numFmtId="0" fontId="34" fillId="9" borderId="40" xfId="0" applyFont="1" applyFill="1" applyBorder="1" applyAlignment="1" applyProtection="1">
      <alignment horizontal="center" vertical="center"/>
      <protection hidden="1"/>
    </xf>
    <xf numFmtId="0" fontId="34" fillId="9" borderId="75" xfId="0" applyFont="1" applyFill="1" applyBorder="1" applyAlignment="1" applyProtection="1">
      <alignment horizontal="center" vertical="center"/>
      <protection hidden="1"/>
    </xf>
    <xf numFmtId="2" fontId="26" fillId="0" borderId="23" xfId="0" applyNumberFormat="1" applyFont="1" applyFill="1" applyBorder="1" applyAlignment="1" applyProtection="1">
      <alignment horizontal="right"/>
      <protection hidden="1"/>
    </xf>
    <xf numFmtId="2" fontId="21" fillId="0" borderId="42" xfId="0" applyNumberFormat="1" applyFont="1" applyBorder="1" applyAlignment="1" applyProtection="1">
      <alignment horizontal="center"/>
      <protection locked="0"/>
    </xf>
    <xf numFmtId="2" fontId="21" fillId="0" borderId="56" xfId="0" applyNumberFormat="1" applyFont="1" applyBorder="1" applyAlignment="1" applyProtection="1"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horizontal="center" wrapText="1"/>
      <protection hidden="1"/>
    </xf>
    <xf numFmtId="0" fontId="9" fillId="0" borderId="0" xfId="0" applyFont="1" applyBorder="1" applyAlignment="1" applyProtection="1">
      <alignment horizontal="center" wrapText="1"/>
      <protection hidden="1"/>
    </xf>
    <xf numFmtId="0" fontId="24" fillId="0" borderId="0" xfId="0" applyFont="1" applyBorder="1" applyAlignment="1" applyProtection="1">
      <protection hidden="1"/>
    </xf>
    <xf numFmtId="0" fontId="16" fillId="0" borderId="0" xfId="0" applyFont="1" applyBorder="1" applyAlignment="1" applyProtection="1">
      <protection hidden="1"/>
    </xf>
    <xf numFmtId="0" fontId="21" fillId="0" borderId="6" xfId="0" applyFont="1" applyBorder="1" applyAlignment="1" applyProtection="1">
      <alignment horizontal="center"/>
      <protection hidden="1"/>
    </xf>
    <xf numFmtId="0" fontId="21" fillId="0" borderId="48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21" fillId="12" borderId="46" xfId="0" applyFont="1" applyFill="1" applyBorder="1" applyAlignment="1" applyProtection="1">
      <alignment horizontal="center"/>
      <protection hidden="1"/>
    </xf>
    <xf numFmtId="0" fontId="21" fillId="0" borderId="39" xfId="0" applyFont="1" applyBorder="1" applyAlignment="1" applyProtection="1">
      <alignment horizontal="center"/>
      <protection hidden="1"/>
    </xf>
    <xf numFmtId="0" fontId="21" fillId="0" borderId="44" xfId="0" applyFont="1" applyBorder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9" fillId="5" borderId="74" xfId="0" applyFont="1" applyFill="1" applyBorder="1" applyAlignment="1" applyProtection="1">
      <alignment horizontal="center" vertical="center"/>
      <protection hidden="1"/>
    </xf>
    <xf numFmtId="0" fontId="29" fillId="5" borderId="40" xfId="0" applyFont="1" applyFill="1" applyBorder="1" applyAlignment="1" applyProtection="1">
      <alignment horizontal="center" vertical="center"/>
      <protection hidden="1"/>
    </xf>
    <xf numFmtId="0" fontId="29" fillId="9" borderId="45" xfId="0" applyFont="1" applyFill="1" applyBorder="1" applyAlignment="1" applyProtection="1">
      <alignment horizontal="center" vertical="center"/>
      <protection hidden="1"/>
    </xf>
    <xf numFmtId="0" fontId="29" fillId="5" borderId="75" xfId="0" applyFont="1" applyFill="1" applyBorder="1" applyAlignment="1" applyProtection="1">
      <alignment horizontal="center"/>
      <protection hidden="1"/>
    </xf>
    <xf numFmtId="0" fontId="26" fillId="0" borderId="47" xfId="0" applyFont="1" applyFill="1" applyBorder="1" applyAlignment="1" applyProtection="1">
      <alignment horizontal="left"/>
      <protection hidden="1"/>
    </xf>
    <xf numFmtId="2" fontId="25" fillId="0" borderId="0" xfId="0" applyNumberFormat="1" applyFont="1" applyAlignment="1" applyProtection="1">
      <alignment horizontal="center"/>
      <protection hidden="1"/>
    </xf>
    <xf numFmtId="0" fontId="21" fillId="12" borderId="17" xfId="0" applyFont="1" applyFill="1" applyBorder="1" applyAlignment="1">
      <alignment horizontal="center"/>
    </xf>
    <xf numFmtId="0" fontId="21" fillId="12" borderId="8" xfId="0" applyFont="1" applyFill="1" applyBorder="1" applyAlignment="1">
      <alignment horizontal="center"/>
    </xf>
    <xf numFmtId="0" fontId="21" fillId="12" borderId="47" xfId="0" applyFont="1" applyFill="1" applyBorder="1" applyAlignment="1">
      <alignment horizontal="center"/>
    </xf>
    <xf numFmtId="0" fontId="21" fillId="12" borderId="66" xfId="0" applyFont="1" applyFill="1" applyBorder="1" applyAlignment="1">
      <alignment horizontal="center"/>
    </xf>
    <xf numFmtId="0" fontId="21" fillId="12" borderId="74" xfId="0" applyFont="1" applyFill="1" applyBorder="1" applyAlignment="1">
      <alignment horizontal="center"/>
    </xf>
    <xf numFmtId="0" fontId="21" fillId="0" borderId="46" xfId="0" applyFont="1" applyFill="1" applyBorder="1" applyAlignment="1">
      <alignment horizontal="left"/>
    </xf>
    <xf numFmtId="2" fontId="21" fillId="0" borderId="39" xfId="0" applyNumberFormat="1" applyFont="1" applyBorder="1" applyAlignment="1" applyProtection="1">
      <alignment horizontal="right"/>
      <protection hidden="1"/>
    </xf>
    <xf numFmtId="0" fontId="21" fillId="0" borderId="8" xfId="0" applyFont="1" applyFill="1" applyBorder="1" applyAlignment="1">
      <alignment horizontal="left"/>
    </xf>
    <xf numFmtId="2" fontId="21" fillId="0" borderId="6" xfId="0" applyNumberFormat="1" applyFont="1" applyBorder="1" applyAlignment="1" applyProtection="1">
      <alignment horizontal="right"/>
      <protection hidden="1"/>
    </xf>
    <xf numFmtId="0" fontId="29" fillId="9" borderId="58" xfId="0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12" borderId="65" xfId="0" applyFont="1" applyFill="1" applyBorder="1" applyAlignment="1">
      <alignment horizontal="center"/>
    </xf>
    <xf numFmtId="0" fontId="21" fillId="0" borderId="63" xfId="0" applyNumberFormat="1" applyFont="1" applyBorder="1" applyAlignment="1" applyProtection="1">
      <alignment horizontal="right"/>
      <protection locked="0"/>
    </xf>
    <xf numFmtId="0" fontId="21" fillId="12" borderId="65" xfId="0" applyFont="1" applyFill="1" applyBorder="1" applyAlignment="1" applyProtection="1">
      <alignment horizontal="center"/>
      <protection hidden="1"/>
    </xf>
    <xf numFmtId="0" fontId="21" fillId="0" borderId="24" xfId="0" applyFont="1" applyBorder="1" applyAlignment="1" applyProtection="1">
      <alignment horizontal="center"/>
      <protection hidden="1"/>
    </xf>
    <xf numFmtId="0" fontId="21" fillId="0" borderId="77" xfId="0" applyFont="1" applyBorder="1" applyAlignment="1" applyProtection="1">
      <alignment horizontal="center"/>
      <protection hidden="1"/>
    </xf>
    <xf numFmtId="0" fontId="21" fillId="0" borderId="25" xfId="0" applyFont="1" applyBorder="1" applyAlignment="1" applyProtection="1">
      <alignment horizontal="center"/>
      <protection hidden="1"/>
    </xf>
    <xf numFmtId="0" fontId="21" fillId="12" borderId="7" xfId="0" applyFont="1" applyFill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68" xfId="0" applyFont="1" applyBorder="1" applyAlignment="1">
      <alignment horizontal="center"/>
    </xf>
    <xf numFmtId="2" fontId="21" fillId="0" borderId="44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protection hidden="1"/>
    </xf>
    <xf numFmtId="0" fontId="21" fillId="0" borderId="68" xfId="0" applyFont="1" applyBorder="1" applyAlignment="1" applyProtection="1">
      <alignment horizontal="center" vertical="center"/>
      <protection hidden="1"/>
    </xf>
    <xf numFmtId="0" fontId="21" fillId="0" borderId="46" xfId="0" applyFont="1" applyFill="1" applyBorder="1" applyAlignment="1" applyProtection="1">
      <alignment horizontal="left"/>
      <protection hidden="1"/>
    </xf>
    <xf numFmtId="0" fontId="21" fillId="0" borderId="8" xfId="0" applyFont="1" applyFill="1" applyBorder="1" applyAlignment="1" applyProtection="1">
      <alignment horizontal="left"/>
      <protection hidden="1"/>
    </xf>
    <xf numFmtId="2" fontId="29" fillId="0" borderId="70" xfId="0" applyNumberFormat="1" applyFont="1" applyBorder="1" applyAlignment="1" applyProtection="1">
      <alignment horizontal="right"/>
      <protection hidden="1"/>
    </xf>
    <xf numFmtId="0" fontId="21" fillId="12" borderId="46" xfId="0" applyFont="1" applyFill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63" xfId="0" applyNumberFormat="1" applyFont="1" applyBorder="1" applyAlignment="1">
      <alignment horizontal="center"/>
    </xf>
    <xf numFmtId="0" fontId="21" fillId="0" borderId="75" xfId="0" applyFont="1" applyBorder="1" applyAlignment="1">
      <alignment horizontal="center"/>
    </xf>
    <xf numFmtId="0" fontId="21" fillId="12" borderId="29" xfId="0" applyFont="1" applyFill="1" applyBorder="1" applyAlignment="1">
      <alignment horizontal="center"/>
    </xf>
    <xf numFmtId="0" fontId="21" fillId="12" borderId="33" xfId="0" applyFont="1" applyFill="1" applyBorder="1" applyAlignment="1">
      <alignment horizontal="center"/>
    </xf>
    <xf numFmtId="0" fontId="21" fillId="12" borderId="30" xfId="0" applyFont="1" applyFill="1" applyBorder="1" applyAlignment="1">
      <alignment horizontal="center"/>
    </xf>
    <xf numFmtId="0" fontId="21" fillId="12" borderId="28" xfId="0" applyFont="1" applyFill="1" applyBorder="1" applyAlignment="1">
      <alignment horizontal="center"/>
    </xf>
    <xf numFmtId="0" fontId="21" fillId="12" borderId="78" xfId="0" applyFont="1" applyFill="1" applyBorder="1" applyAlignment="1">
      <alignment horizontal="center"/>
    </xf>
    <xf numFmtId="0" fontId="21" fillId="12" borderId="51" xfId="0" applyFont="1" applyFill="1" applyBorder="1" applyAlignment="1">
      <alignment horizontal="center"/>
    </xf>
    <xf numFmtId="0" fontId="21" fillId="12" borderId="21" xfId="0" applyFont="1" applyFill="1" applyBorder="1" applyAlignment="1">
      <alignment horizontal="center"/>
    </xf>
    <xf numFmtId="2" fontId="21" fillId="0" borderId="12" xfId="0" applyNumberFormat="1" applyFont="1" applyBorder="1" applyAlignment="1" applyProtection="1">
      <alignment horizontal="right" vertical="center"/>
      <protection locked="0"/>
    </xf>
    <xf numFmtId="2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12" xfId="0" applyNumberFormat="1" applyFont="1" applyBorder="1" applyAlignment="1" applyProtection="1">
      <alignment horizontal="right" vertical="center"/>
      <protection locked="0"/>
    </xf>
    <xf numFmtId="0" fontId="21" fillId="0" borderId="13" xfId="0" applyNumberFormat="1" applyFont="1" applyBorder="1" applyAlignment="1" applyProtection="1">
      <alignment horizontal="right" vertical="center"/>
      <protection locked="0"/>
    </xf>
    <xf numFmtId="0" fontId="21" fillId="0" borderId="50" xfId="0" applyNumberFormat="1" applyFont="1" applyBorder="1" applyAlignment="1" applyProtection="1">
      <alignment horizontal="right" vertical="center"/>
      <protection locked="0"/>
    </xf>
    <xf numFmtId="0" fontId="21" fillId="0" borderId="71" xfId="0" applyNumberFormat="1" applyFont="1" applyBorder="1" applyAlignment="1" applyProtection="1">
      <alignment horizontal="right" vertical="center"/>
      <protection locked="0"/>
    </xf>
    <xf numFmtId="0" fontId="21" fillId="0" borderId="70" xfId="0" applyNumberFormat="1" applyFont="1" applyBorder="1" applyAlignment="1" applyProtection="1">
      <alignment horizontal="right" vertical="center"/>
      <protection locked="0"/>
    </xf>
    <xf numFmtId="0" fontId="21" fillId="0" borderId="49" xfId="0" applyNumberFormat="1" applyFont="1" applyBorder="1" applyAlignment="1" applyProtection="1">
      <alignment horizontal="right" vertical="center"/>
      <protection locked="0"/>
    </xf>
    <xf numFmtId="0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40" xfId="0" applyNumberFormat="1" applyFont="1" applyBorder="1" applyAlignment="1" applyProtection="1">
      <alignment horizontal="right" vertical="center"/>
      <protection locked="0"/>
    </xf>
    <xf numFmtId="0" fontId="21" fillId="0" borderId="42" xfId="0" applyNumberFormat="1" applyFont="1" applyBorder="1" applyAlignment="1" applyProtection="1">
      <alignment horizontal="right"/>
      <protection locked="0"/>
    </xf>
    <xf numFmtId="0" fontId="21" fillId="0" borderId="72" xfId="0" applyNumberFormat="1" applyFont="1" applyBorder="1" applyAlignment="1" applyProtection="1">
      <alignment horizontal="right"/>
      <protection locked="0"/>
    </xf>
    <xf numFmtId="2" fontId="21" fillId="0" borderId="5" xfId="0" applyNumberFormat="1" applyFont="1" applyBorder="1" applyAlignment="1" applyProtection="1">
      <alignment horizontal="right"/>
      <protection locked="0"/>
    </xf>
    <xf numFmtId="2" fontId="21" fillId="0" borderId="3" xfId="0" applyNumberFormat="1" applyFont="1" applyBorder="1" applyAlignment="1" applyProtection="1">
      <alignment horizontal="right"/>
      <protection hidden="1"/>
    </xf>
    <xf numFmtId="2" fontId="21" fillId="0" borderId="5" xfId="0" applyNumberFormat="1" applyFont="1" applyBorder="1" applyAlignment="1" applyProtection="1">
      <protection locked="0"/>
    </xf>
    <xf numFmtId="2" fontId="21" fillId="0" borderId="39" xfId="0" applyNumberFormat="1" applyFont="1" applyBorder="1" applyAlignment="1" applyProtection="1">
      <protection locked="0"/>
    </xf>
    <xf numFmtId="2" fontId="21" fillId="0" borderId="6" xfId="0" applyNumberFormat="1" applyFont="1" applyBorder="1" applyAlignment="1" applyProtection="1">
      <alignment wrapText="1"/>
      <protection locked="0"/>
    </xf>
    <xf numFmtId="2" fontId="21" fillId="0" borderId="4" xfId="0" applyNumberFormat="1" applyFont="1" applyBorder="1" applyAlignment="1" applyProtection="1">
      <alignment horizontal="right"/>
      <protection hidden="1"/>
    </xf>
    <xf numFmtId="0" fontId="21" fillId="0" borderId="76" xfId="0" applyFont="1" applyFill="1" applyBorder="1" applyAlignment="1" applyProtection="1">
      <alignment vertical="center" wrapText="1"/>
      <protection hidden="1"/>
    </xf>
    <xf numFmtId="0" fontId="21" fillId="0" borderId="38" xfId="0" applyFont="1" applyBorder="1" applyAlignment="1"/>
    <xf numFmtId="0" fontId="21" fillId="0" borderId="25" xfId="0" applyFont="1" applyBorder="1" applyAlignment="1"/>
    <xf numFmtId="0" fontId="22" fillId="0" borderId="25" xfId="0" applyFont="1" applyBorder="1" applyAlignment="1"/>
    <xf numFmtId="0" fontId="22" fillId="0" borderId="76" xfId="0" applyFont="1" applyBorder="1" applyAlignment="1"/>
    <xf numFmtId="0" fontId="21" fillId="0" borderId="25" xfId="0" applyFont="1" applyFill="1" applyBorder="1" applyAlignment="1" applyProtection="1">
      <alignment vertical="center" wrapText="1"/>
      <protection hidden="1"/>
    </xf>
    <xf numFmtId="0" fontId="21" fillId="11" borderId="75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32" fillId="0" borderId="0" xfId="1" applyFont="1" applyFill="1" applyBorder="1" applyAlignment="1" applyProtection="1">
      <alignment horizontal="center" vertical="center"/>
      <protection hidden="1"/>
    </xf>
    <xf numFmtId="0" fontId="21" fillId="0" borderId="40" xfId="0" applyFont="1" applyBorder="1" applyAlignment="1" applyProtection="1">
      <alignment horizontal="right"/>
      <protection locked="0"/>
    </xf>
    <xf numFmtId="0" fontId="21" fillId="0" borderId="23" xfId="0" applyFont="1" applyBorder="1" applyAlignment="1" applyProtection="1">
      <alignment horizontal="right"/>
      <protection locked="0"/>
    </xf>
    <xf numFmtId="0" fontId="21" fillId="0" borderId="63" xfId="0" applyFont="1" applyBorder="1" applyAlignment="1" applyProtection="1">
      <alignment horizontal="right"/>
      <protection locked="0"/>
    </xf>
    <xf numFmtId="2" fontId="21" fillId="8" borderId="3" xfId="0" applyNumberFormat="1" applyFont="1" applyFill="1" applyBorder="1" applyAlignment="1" applyProtection="1">
      <protection hidden="1"/>
    </xf>
    <xf numFmtId="2" fontId="21" fillId="8" borderId="4" xfId="0" applyNumberFormat="1" applyFont="1" applyFill="1" applyBorder="1" applyAlignment="1" applyProtection="1">
      <protection hidden="1"/>
    </xf>
    <xf numFmtId="0" fontId="21" fillId="0" borderId="17" xfId="0" applyFont="1" applyFill="1" applyBorder="1" applyAlignment="1" applyProtection="1">
      <alignment vertical="center"/>
      <protection hidden="1"/>
    </xf>
    <xf numFmtId="0" fontId="32" fillId="10" borderId="22" xfId="1" applyFont="1" applyBorder="1" applyAlignment="1" applyProtection="1">
      <alignment horizontal="center" vertical="center"/>
      <protection hidden="1"/>
    </xf>
    <xf numFmtId="2" fontId="21" fillId="0" borderId="22" xfId="0" applyNumberFormat="1" applyFont="1" applyFill="1" applyBorder="1" applyAlignment="1" applyProtection="1">
      <alignment horizontal="center"/>
      <protection locked="0"/>
    </xf>
    <xf numFmtId="2" fontId="21" fillId="0" borderId="19" xfId="0" applyNumberFormat="1" applyFont="1" applyFill="1" applyBorder="1" applyAlignment="1" applyProtection="1">
      <protection hidden="1"/>
    </xf>
    <xf numFmtId="0" fontId="0" fillId="0" borderId="22" xfId="0" applyNumberFormat="1" applyBorder="1" applyAlignment="1" applyProtection="1">
      <alignment horizontal="right"/>
      <protection locked="0"/>
    </xf>
    <xf numFmtId="0" fontId="0" fillId="0" borderId="6" xfId="0" applyNumberFormat="1" applyBorder="1" applyAlignment="1" applyProtection="1">
      <alignment horizontal="right"/>
      <protection locked="0"/>
    </xf>
    <xf numFmtId="0" fontId="0" fillId="0" borderId="40" xfId="0" applyBorder="1" applyAlignment="1" applyProtection="1">
      <alignment horizontal="right"/>
      <protection locked="0"/>
    </xf>
    <xf numFmtId="0" fontId="0" fillId="0" borderId="23" xfId="0" applyNumberFormat="1" applyBorder="1" applyAlignment="1" applyProtection="1">
      <alignment horizontal="right"/>
      <protection locked="0"/>
    </xf>
    <xf numFmtId="0" fontId="0" fillId="0" borderId="37" xfId="0" applyNumberFormat="1" applyBorder="1" applyAlignment="1" applyProtection="1">
      <alignment horizontal="right"/>
      <protection locked="0"/>
    </xf>
    <xf numFmtId="0" fontId="0" fillId="0" borderId="40" xfId="0" applyNumberFormat="1" applyBorder="1" applyAlignment="1" applyProtection="1">
      <alignment horizontal="right"/>
      <protection locked="0"/>
    </xf>
    <xf numFmtId="0" fontId="0" fillId="0" borderId="5" xfId="0" applyNumberFormat="1" applyBorder="1" applyAlignment="1" applyProtection="1">
      <alignment horizontal="right"/>
      <protection locked="0"/>
    </xf>
    <xf numFmtId="0" fontId="0" fillId="0" borderId="68" xfId="0" applyBorder="1" applyAlignment="1" applyProtection="1">
      <alignment horizontal="right"/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68" xfId="0" applyNumberFormat="1" applyBorder="1" applyAlignment="1" applyProtection="1">
      <alignment horizontal="right"/>
      <protection locked="0"/>
    </xf>
    <xf numFmtId="0" fontId="21" fillId="0" borderId="22" xfId="0" applyFont="1" applyBorder="1" applyAlignment="1" applyProtection="1">
      <alignment horizontal="right"/>
      <protection locked="0"/>
    </xf>
    <xf numFmtId="0" fontId="21" fillId="0" borderId="5" xfId="0" applyFont="1" applyBorder="1" applyAlignment="1" applyProtection="1">
      <alignment horizontal="right"/>
      <protection locked="0"/>
    </xf>
    <xf numFmtId="0" fontId="21" fillId="0" borderId="68" xfId="0" applyFont="1" applyBorder="1" applyAlignment="1" applyProtection="1">
      <alignment horizontal="right"/>
      <protection locked="0"/>
    </xf>
    <xf numFmtId="2" fontId="21" fillId="0" borderId="43" xfId="0" applyNumberFormat="1" applyFont="1" applyBorder="1" applyAlignment="1" applyProtection="1">
      <protection locked="0"/>
    </xf>
    <xf numFmtId="2" fontId="21" fillId="0" borderId="6" xfId="0" applyNumberFormat="1" applyFont="1" applyBorder="1" applyAlignment="1" applyProtection="1">
      <protection locked="0"/>
    </xf>
    <xf numFmtId="2" fontId="21" fillId="0" borderId="22" xfId="0" applyNumberFormat="1" applyFont="1" applyBorder="1" applyAlignment="1" applyProtection="1">
      <alignment horizontal="right" vertical="center"/>
      <protection locked="0"/>
    </xf>
    <xf numFmtId="2" fontId="21" fillId="0" borderId="22" xfId="0" applyNumberFormat="1" applyFont="1" applyBorder="1" applyAlignment="1" applyProtection="1">
      <protection locked="0"/>
    </xf>
    <xf numFmtId="0" fontId="21" fillId="0" borderId="40" xfId="0" applyNumberFormat="1" applyFont="1" applyBorder="1" applyAlignment="1" applyProtection="1">
      <protection locked="0"/>
    </xf>
    <xf numFmtId="0" fontId="21" fillId="0" borderId="40" xfId="0" applyFont="1" applyBorder="1" applyAlignment="1" applyProtection="1">
      <protection locked="0"/>
    </xf>
    <xf numFmtId="0" fontId="21" fillId="0" borderId="23" xfId="0" applyFont="1" applyBorder="1" applyAlignment="1" applyProtection="1">
      <protection locked="0"/>
    </xf>
    <xf numFmtId="0" fontId="21" fillId="0" borderId="68" xfId="0" applyFont="1" applyBorder="1" applyAlignment="1" applyProtection="1">
      <protection locked="0"/>
    </xf>
    <xf numFmtId="0" fontId="21" fillId="0" borderId="22" xfId="0" applyNumberFormat="1" applyFont="1" applyBorder="1" applyAlignment="1" applyProtection="1">
      <protection locked="0"/>
    </xf>
    <xf numFmtId="0" fontId="21" fillId="0" borderId="6" xfId="0" applyNumberFormat="1" applyFont="1" applyBorder="1" applyAlignment="1" applyProtection="1">
      <protection locked="0"/>
    </xf>
    <xf numFmtId="2" fontId="21" fillId="0" borderId="22" xfId="0" applyNumberFormat="1" applyFont="1" applyBorder="1" applyAlignment="1" applyProtection="1">
      <alignment horizontal="right"/>
      <protection hidden="1"/>
    </xf>
    <xf numFmtId="2" fontId="21" fillId="0" borderId="19" xfId="0" applyNumberFormat="1" applyFont="1" applyBorder="1" applyAlignment="1" applyProtection="1">
      <protection hidden="1"/>
    </xf>
    <xf numFmtId="0" fontId="21" fillId="0" borderId="68" xfId="0" applyNumberFormat="1" applyFont="1" applyBorder="1" applyAlignment="1" applyProtection="1">
      <protection locked="0"/>
    </xf>
    <xf numFmtId="0" fontId="21" fillId="0" borderId="5" xfId="0" applyNumberFormat="1" applyFont="1" applyBorder="1" applyAlignment="1" applyProtection="1">
      <protection locked="0"/>
    </xf>
    <xf numFmtId="0" fontId="21" fillId="0" borderId="23" xfId="0" applyNumberFormat="1" applyFont="1" applyBorder="1" applyAlignment="1" applyProtection="1">
      <protection locked="0"/>
    </xf>
    <xf numFmtId="0" fontId="21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2" fontId="21" fillId="0" borderId="22" xfId="0" applyNumberFormat="1" applyFont="1" applyBorder="1" applyAlignment="1" applyProtection="1">
      <alignment vertical="center"/>
      <protection locked="0"/>
    </xf>
    <xf numFmtId="0" fontId="21" fillId="0" borderId="58" xfId="0" applyNumberFormat="1" applyFont="1" applyBorder="1" applyAlignment="1" applyProtection="1">
      <alignment horizontal="right"/>
      <protection locked="0"/>
    </xf>
    <xf numFmtId="2" fontId="0" fillId="0" borderId="22" xfId="0" applyNumberFormat="1" applyBorder="1" applyAlignment="1" applyProtection="1">
      <alignment horizontal="right"/>
      <protection locked="0"/>
    </xf>
    <xf numFmtId="2" fontId="0" fillId="0" borderId="6" xfId="0" applyNumberFormat="1" applyBorder="1" applyAlignment="1" applyProtection="1">
      <alignment horizontal="right"/>
      <protection locked="0"/>
    </xf>
    <xf numFmtId="2" fontId="21" fillId="0" borderId="23" xfId="0" applyNumberFormat="1" applyFont="1" applyFill="1" applyBorder="1" applyAlignment="1" applyProtection="1">
      <alignment horizontal="right"/>
      <protection locked="0"/>
    </xf>
    <xf numFmtId="0" fontId="21" fillId="0" borderId="43" xfId="0" applyFont="1" applyFill="1" applyBorder="1" applyAlignment="1" applyProtection="1">
      <alignment horizontal="right"/>
      <protection locked="0"/>
    </xf>
    <xf numFmtId="2" fontId="21" fillId="0" borderId="43" xfId="0" applyNumberFormat="1" applyFont="1" applyFill="1" applyBorder="1" applyAlignment="1" applyProtection="1">
      <alignment horizontal="right"/>
      <protection locked="0"/>
    </xf>
    <xf numFmtId="2" fontId="21" fillId="0" borderId="43" xfId="0" applyNumberFormat="1" applyFont="1" applyFill="1" applyBorder="1" applyAlignment="1" applyProtection="1">
      <alignment horizontal="right" wrapText="1"/>
      <protection locked="0"/>
    </xf>
    <xf numFmtId="2" fontId="21" fillId="0" borderId="42" xfId="0" applyNumberFormat="1" applyFont="1" applyFill="1" applyBorder="1" applyAlignment="1" applyProtection="1">
      <alignment horizontal="right"/>
      <protection locked="0"/>
    </xf>
    <xf numFmtId="2" fontId="21" fillId="0" borderId="48" xfId="0" applyNumberFormat="1" applyFont="1" applyFill="1" applyBorder="1" applyAlignment="1" applyProtection="1">
      <alignment horizontal="right"/>
      <protection locked="0"/>
    </xf>
    <xf numFmtId="2" fontId="21" fillId="0" borderId="23" xfId="0" applyNumberFormat="1" applyFont="1" applyBorder="1" applyAlignment="1" applyProtection="1">
      <alignment horizontal="right"/>
      <protection locked="0"/>
    </xf>
    <xf numFmtId="0" fontId="21" fillId="0" borderId="43" xfId="0" applyNumberFormat="1" applyFont="1" applyBorder="1" applyAlignment="1" applyProtection="1">
      <alignment horizontal="right"/>
      <protection locked="0"/>
    </xf>
    <xf numFmtId="2" fontId="0" fillId="0" borderId="63" xfId="0" applyNumberFormat="1" applyBorder="1" applyAlignment="1" applyProtection="1">
      <alignment horizontal="right"/>
      <protection locked="0"/>
    </xf>
    <xf numFmtId="2" fontId="21" fillId="0" borderId="63" xfId="0" applyNumberFormat="1" applyFont="1" applyBorder="1" applyAlignment="1" applyProtection="1">
      <alignment horizontal="right"/>
      <protection locked="0"/>
    </xf>
    <xf numFmtId="0" fontId="21" fillId="0" borderId="63" xfId="0" applyNumberFormat="1" applyFont="1" applyBorder="1" applyAlignment="1" applyProtection="1">
      <alignment horizontal="right" vertical="center"/>
      <protection locked="0"/>
    </xf>
    <xf numFmtId="0" fontId="22" fillId="0" borderId="3" xfId="0" applyFont="1" applyBorder="1" applyAlignment="1" applyProtection="1">
      <alignment horizontal="center"/>
      <protection hidden="1"/>
    </xf>
    <xf numFmtId="0" fontId="31" fillId="9" borderId="40" xfId="0" applyFont="1" applyFill="1" applyBorder="1" applyAlignment="1" applyProtection="1">
      <alignment horizontal="center" vertical="center"/>
      <protection hidden="1"/>
    </xf>
    <xf numFmtId="0" fontId="30" fillId="10" borderId="23" xfId="1" applyFont="1" applyBorder="1" applyAlignment="1" applyProtection="1">
      <alignment horizontal="left"/>
      <protection hidden="1"/>
    </xf>
    <xf numFmtId="0" fontId="30" fillId="10" borderId="5" xfId="1" applyFont="1" applyBorder="1" applyAlignment="1" applyProtection="1">
      <alignment horizontal="left"/>
      <protection hidden="1"/>
    </xf>
    <xf numFmtId="0" fontId="21" fillId="0" borderId="19" xfId="0" applyFont="1" applyBorder="1" applyAlignment="1" applyProtection="1">
      <alignment horizontal="center"/>
      <protection hidden="1"/>
    </xf>
    <xf numFmtId="0" fontId="21" fillId="0" borderId="63" xfId="0" applyFont="1" applyBorder="1" applyAlignment="1" applyProtection="1">
      <alignment horizontal="center"/>
      <protection hidden="1"/>
    </xf>
    <xf numFmtId="0" fontId="21" fillId="0" borderId="52" xfId="0" applyFont="1" applyBorder="1" applyAlignment="1" applyProtection="1">
      <alignment horizontal="center"/>
      <protection hidden="1"/>
    </xf>
    <xf numFmtId="0" fontId="21" fillId="0" borderId="23" xfId="0" applyNumberFormat="1" applyFont="1" applyBorder="1" applyAlignment="1" applyProtection="1">
      <alignment horizontal="center"/>
      <protection hidden="1"/>
    </xf>
    <xf numFmtId="0" fontId="21" fillId="0" borderId="20" xfId="0" applyFont="1" applyBorder="1" applyAlignment="1" applyProtection="1">
      <protection hidden="1"/>
    </xf>
    <xf numFmtId="0" fontId="5" fillId="0" borderId="0" xfId="0" applyFont="1" applyAlignment="1" applyProtection="1">
      <protection hidden="1"/>
    </xf>
    <xf numFmtId="0" fontId="29" fillId="9" borderId="22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 wrapText="1"/>
      <protection hidden="1"/>
    </xf>
    <xf numFmtId="0" fontId="30" fillId="10" borderId="6" xfId="1" applyFont="1" applyBorder="1" applyAlignment="1" applyProtection="1">
      <alignment horizontal="left"/>
      <protection hidden="1"/>
    </xf>
    <xf numFmtId="0" fontId="21" fillId="0" borderId="46" xfId="0" applyFont="1" applyBorder="1" applyAlignment="1" applyProtection="1">
      <protection hidden="1"/>
    </xf>
    <xf numFmtId="0" fontId="21" fillId="12" borderId="51" xfId="0" applyFont="1" applyFill="1" applyBorder="1" applyAlignment="1" applyProtection="1">
      <alignment horizontal="center"/>
      <protection hidden="1"/>
    </xf>
    <xf numFmtId="0" fontId="21" fillId="0" borderId="4" xfId="0" applyFont="1" applyBorder="1" applyAlignment="1" applyProtection="1">
      <protection hidden="1"/>
    </xf>
    <xf numFmtId="2" fontId="21" fillId="0" borderId="0" xfId="0" applyNumberFormat="1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Alignment="1" applyProtection="1">
      <protection hidden="1"/>
    </xf>
    <xf numFmtId="2" fontId="29" fillId="0" borderId="70" xfId="0" applyNumberFormat="1" applyFont="1" applyBorder="1" applyAlignment="1" applyProtection="1">
      <alignment horizontal="right" vertical="center"/>
      <protection hidden="1"/>
    </xf>
    <xf numFmtId="0" fontId="25" fillId="0" borderId="0" xfId="0" applyFont="1" applyBorder="1" applyAlignment="1" applyProtection="1">
      <alignment vertical="center" textRotation="90"/>
      <protection hidden="1"/>
    </xf>
    <xf numFmtId="0" fontId="17" fillId="0" borderId="0" xfId="0" applyFont="1" applyBorder="1" applyAlignment="1" applyProtection="1">
      <alignment vertical="center" textRotation="90"/>
      <protection hidden="1"/>
    </xf>
    <xf numFmtId="0" fontId="21" fillId="0" borderId="3" xfId="0" applyFont="1" applyBorder="1" applyAlignment="1" applyProtection="1">
      <alignment horizontal="center"/>
      <protection hidden="1"/>
    </xf>
    <xf numFmtId="0" fontId="21" fillId="0" borderId="75" xfId="0" applyFont="1" applyBorder="1" applyAlignment="1" applyProtection="1">
      <alignment horizontal="center" vertical="center"/>
      <protection hidden="1"/>
    </xf>
    <xf numFmtId="0" fontId="21" fillId="0" borderId="27" xfId="0" applyFont="1" applyBorder="1" applyAlignment="1" applyProtection="1">
      <protection hidden="1"/>
    </xf>
    <xf numFmtId="0" fontId="28" fillId="0" borderId="0" xfId="0" applyFont="1" applyBorder="1" applyAlignment="1" applyProtection="1">
      <alignment vertical="center" textRotation="90"/>
      <protection hidden="1"/>
    </xf>
    <xf numFmtId="0" fontId="22" fillId="0" borderId="0" xfId="0" applyFont="1" applyBorder="1" applyAlignment="1" applyProtection="1">
      <alignment vertical="center" textRotation="90"/>
      <protection hidden="1"/>
    </xf>
    <xf numFmtId="0" fontId="25" fillId="0" borderId="0" xfId="0" applyFont="1" applyFill="1" applyBorder="1" applyAlignment="1" applyProtection="1">
      <alignment vertical="center" textRotation="90"/>
      <protection hidden="1"/>
    </xf>
    <xf numFmtId="0" fontId="28" fillId="0" borderId="0" xfId="0" applyFont="1" applyFill="1" applyBorder="1" applyAlignment="1" applyProtection="1">
      <alignment vertical="center" textRotation="90"/>
      <protection hidden="1"/>
    </xf>
    <xf numFmtId="0" fontId="22" fillId="0" borderId="0" xfId="0" applyFont="1" applyFill="1" applyBorder="1" applyAlignment="1" applyProtection="1">
      <alignment vertical="center" textRotation="90"/>
      <protection hidden="1"/>
    </xf>
    <xf numFmtId="0" fontId="0" fillId="12" borderId="17" xfId="0" applyFill="1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66" xfId="0" applyFill="1" applyBorder="1" applyAlignment="1" applyProtection="1">
      <alignment horizontal="center"/>
      <protection hidden="1"/>
    </xf>
    <xf numFmtId="0" fontId="0" fillId="12" borderId="47" xfId="0" applyFill="1" applyBorder="1" applyAlignment="1" applyProtection="1">
      <alignment horizontal="center"/>
      <protection hidden="1"/>
    </xf>
    <xf numFmtId="0" fontId="0" fillId="0" borderId="23" xfId="0" applyFont="1" applyBorder="1" applyAlignment="1" applyProtection="1">
      <alignment horizontal="center"/>
      <protection hidden="1"/>
    </xf>
    <xf numFmtId="0" fontId="0" fillId="0" borderId="56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0" fontId="0" fillId="0" borderId="3" xfId="0" applyFont="1" applyBorder="1" applyAlignment="1" applyProtection="1">
      <alignment horizontal="center"/>
      <protection hidden="1"/>
    </xf>
    <xf numFmtId="0" fontId="0" fillId="12" borderId="36" xfId="0" applyFill="1" applyBorder="1" applyAlignment="1" applyProtection="1">
      <alignment horizontal="center"/>
      <protection hidden="1"/>
    </xf>
    <xf numFmtId="0" fontId="0" fillId="0" borderId="37" xfId="0" applyNumberFormat="1" applyFont="1" applyBorder="1" applyAlignment="1" applyProtection="1">
      <alignment horizont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12" borderId="74" xfId="0" applyFill="1" applyBorder="1" applyAlignment="1" applyProtection="1">
      <alignment horizontal="center"/>
      <protection hidden="1"/>
    </xf>
    <xf numFmtId="0" fontId="0" fillId="0" borderId="40" xfId="0" applyFont="1" applyBorder="1" applyAlignment="1" applyProtection="1">
      <alignment horizontal="center"/>
      <protection hidden="1"/>
    </xf>
    <xf numFmtId="0" fontId="0" fillId="0" borderId="75" xfId="0" applyFont="1" applyBorder="1" applyAlignment="1" applyProtection="1">
      <alignment horizontal="center"/>
      <protection hidden="1"/>
    </xf>
    <xf numFmtId="0" fontId="0" fillId="0" borderId="22" xfId="0" applyFont="1" applyBorder="1" applyAlignment="1" applyProtection="1">
      <alignment horizontal="center"/>
      <protection hidden="1"/>
    </xf>
    <xf numFmtId="0" fontId="0" fillId="0" borderId="19" xfId="0" applyFont="1" applyBorder="1" applyAlignment="1" applyProtection="1">
      <alignment horizontal="center"/>
      <protection hidden="1"/>
    </xf>
    <xf numFmtId="0" fontId="0" fillId="0" borderId="68" xfId="0" applyFont="1" applyBorder="1" applyAlignment="1" applyProtection="1">
      <alignment horizontal="center"/>
      <protection hidden="1"/>
    </xf>
    <xf numFmtId="0" fontId="0" fillId="0" borderId="76" xfId="0" applyFont="1" applyBorder="1" applyAlignment="1" applyProtection="1">
      <alignment horizontal="center"/>
      <protection hidden="1"/>
    </xf>
    <xf numFmtId="0" fontId="0" fillId="12" borderId="28" xfId="0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6" fillId="5" borderId="74" xfId="0" applyFont="1" applyFill="1" applyBorder="1" applyAlignment="1" applyProtection="1">
      <alignment horizontal="center" vertical="center"/>
      <protection hidden="1"/>
    </xf>
    <xf numFmtId="0" fontId="36" fillId="5" borderId="40" xfId="0" applyFont="1" applyFill="1" applyBorder="1" applyAlignment="1" applyProtection="1">
      <alignment horizontal="center" vertical="center"/>
      <protection hidden="1"/>
    </xf>
    <xf numFmtId="0" fontId="36" fillId="9" borderId="45" xfId="0" applyFont="1" applyFill="1" applyBorder="1" applyAlignment="1" applyProtection="1">
      <alignment horizontal="center" vertical="center"/>
      <protection hidden="1"/>
    </xf>
    <xf numFmtId="0" fontId="36" fillId="5" borderId="38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6" fillId="0" borderId="17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center" wrapText="1"/>
      <protection hidden="1"/>
    </xf>
    <xf numFmtId="0" fontId="6" fillId="0" borderId="7" xfId="0" applyFont="1" applyFill="1" applyBorder="1" applyAlignment="1" applyProtection="1">
      <alignment horizontal="left"/>
      <protection hidden="1"/>
    </xf>
    <xf numFmtId="0" fontId="0" fillId="0" borderId="7" xfId="0" applyFill="1" applyBorder="1" applyAlignment="1" applyProtection="1">
      <alignment horizontal="left"/>
      <protection hidden="1"/>
    </xf>
    <xf numFmtId="0" fontId="19" fillId="0" borderId="0" xfId="0" applyFont="1" applyBorder="1" applyAlignment="1" applyProtection="1">
      <alignment vertical="center" textRotation="90"/>
      <protection hidden="1"/>
    </xf>
    <xf numFmtId="0" fontId="0" fillId="8" borderId="7" xfId="0" applyFill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 textRotation="90"/>
      <protection hidden="1"/>
    </xf>
    <xf numFmtId="0" fontId="0" fillId="8" borderId="7" xfId="0" applyFont="1" applyFill="1" applyBorder="1" applyAlignment="1" applyProtection="1">
      <alignment vertical="center"/>
      <protection hidden="1"/>
    </xf>
    <xf numFmtId="0" fontId="0" fillId="8" borderId="8" xfId="0" applyFill="1" applyBorder="1" applyAlignment="1" applyProtection="1">
      <alignment vertical="center"/>
      <protection hidden="1"/>
    </xf>
    <xf numFmtId="0" fontId="36" fillId="0" borderId="0" xfId="0" applyFont="1" applyAlignment="1" applyProtection="1">
      <alignment horizontal="center"/>
      <protection hidden="1"/>
    </xf>
    <xf numFmtId="2" fontId="36" fillId="0" borderId="70" xfId="0" applyNumberFormat="1" applyFont="1" applyBorder="1" applyAlignment="1" applyProtection="1">
      <alignment horizontal="right"/>
      <protection hidden="1"/>
    </xf>
    <xf numFmtId="0" fontId="37" fillId="9" borderId="40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1" fillId="0" borderId="56" xfId="0" applyFont="1" applyBorder="1" applyAlignment="1" applyProtection="1">
      <alignment horizontal="center"/>
      <protection hidden="1"/>
    </xf>
    <xf numFmtId="0" fontId="21" fillId="12" borderId="28" xfId="0" applyFont="1" applyFill="1" applyBorder="1" applyAlignment="1" applyProtection="1">
      <alignment horizontal="center"/>
      <protection hidden="1"/>
    </xf>
    <xf numFmtId="0" fontId="29" fillId="5" borderId="36" xfId="0" applyFont="1" applyFill="1" applyBorder="1" applyAlignment="1" applyProtection="1">
      <alignment horizontal="center" vertical="center"/>
      <protection hidden="1"/>
    </xf>
    <xf numFmtId="0" fontId="29" fillId="5" borderId="37" xfId="0" applyFont="1" applyFill="1" applyBorder="1" applyAlignment="1" applyProtection="1">
      <alignment horizontal="center" vertical="center"/>
      <protection hidden="1"/>
    </xf>
    <xf numFmtId="0" fontId="29" fillId="9" borderId="61" xfId="0" applyFont="1" applyFill="1" applyBorder="1" applyAlignment="1" applyProtection="1">
      <alignment horizontal="center" vertical="center"/>
      <protection hidden="1"/>
    </xf>
    <xf numFmtId="0" fontId="29" fillId="5" borderId="38" xfId="0" applyFont="1" applyFill="1" applyBorder="1" applyAlignment="1" applyProtection="1">
      <alignment horizontal="center"/>
      <protection hidden="1"/>
    </xf>
    <xf numFmtId="0" fontId="21" fillId="0" borderId="17" xfId="0" applyFont="1" applyFill="1" applyBorder="1" applyAlignment="1" applyProtection="1">
      <alignment horizontal="left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right"/>
      <protection hidden="1"/>
    </xf>
    <xf numFmtId="0" fontId="21" fillId="0" borderId="0" xfId="0" applyFont="1" applyAlignment="1" applyProtection="1">
      <alignment vertical="top"/>
      <protection hidden="1"/>
    </xf>
    <xf numFmtId="0" fontId="21" fillId="0" borderId="37" xfId="0" applyNumberFormat="1" applyFont="1" applyBorder="1" applyAlignment="1" applyProtection="1">
      <alignment horizontal="center"/>
      <protection hidden="1"/>
    </xf>
    <xf numFmtId="0" fontId="27" fillId="0" borderId="0" xfId="0" applyFont="1" applyBorder="1" applyAlignment="1" applyProtection="1">
      <alignment vertical="center" textRotation="90"/>
      <protection hidden="1"/>
    </xf>
    <xf numFmtId="0" fontId="0" fillId="12" borderId="65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58" xfId="0" applyFont="1" applyBorder="1" applyAlignment="1" applyProtection="1">
      <alignment horizontal="center"/>
      <protection hidden="1"/>
    </xf>
    <xf numFmtId="0" fontId="0" fillId="0" borderId="43" xfId="0" applyFont="1" applyBorder="1" applyAlignment="1" applyProtection="1">
      <alignment horizont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72" xfId="0" applyFont="1" applyBorder="1" applyAlignment="1" applyProtection="1">
      <alignment horizontal="center"/>
      <protection hidden="1"/>
    </xf>
    <xf numFmtId="0" fontId="36" fillId="5" borderId="17" xfId="0" applyFont="1" applyFill="1" applyBorder="1" applyAlignment="1" applyProtection="1">
      <alignment horizontal="center" vertical="center"/>
      <protection hidden="1"/>
    </xf>
    <xf numFmtId="0" fontId="36" fillId="5" borderId="22" xfId="0" applyFont="1" applyFill="1" applyBorder="1" applyAlignment="1" applyProtection="1">
      <alignment horizontal="center" vertical="center"/>
      <protection hidden="1"/>
    </xf>
    <xf numFmtId="0" fontId="36" fillId="9" borderId="22" xfId="0" applyFont="1" applyFill="1" applyBorder="1" applyAlignment="1" applyProtection="1">
      <alignment horizontal="center" vertical="center"/>
      <protection hidden="1"/>
    </xf>
    <xf numFmtId="0" fontId="36" fillId="5" borderId="19" xfId="0" applyFont="1" applyFill="1" applyBorder="1" applyAlignment="1" applyProtection="1">
      <alignment horizontal="center"/>
      <protection hidden="1"/>
    </xf>
    <xf numFmtId="0" fontId="0" fillId="0" borderId="46" xfId="0" applyBorder="1" applyAlignment="1" applyProtection="1"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38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2" fontId="21" fillId="0" borderId="44" xfId="0" applyNumberFormat="1" applyFont="1" applyBorder="1" applyAlignment="1" applyProtection="1">
      <alignment horizontal="center" wrapText="1"/>
      <protection locked="0"/>
    </xf>
    <xf numFmtId="0" fontId="21" fillId="8" borderId="66" xfId="0" applyFont="1" applyFill="1" applyBorder="1" applyAlignment="1" applyProtection="1">
      <alignment vertical="center"/>
      <protection hidden="1"/>
    </xf>
    <xf numFmtId="0" fontId="21" fillId="0" borderId="18" xfId="0" applyFont="1" applyBorder="1" applyAlignment="1" applyProtection="1">
      <alignment horizontal="center"/>
      <protection hidden="1"/>
    </xf>
    <xf numFmtId="0" fontId="21" fillId="12" borderId="12" xfId="0" applyFont="1" applyFill="1" applyBorder="1" applyAlignment="1" applyProtection="1">
      <alignment horizontal="center"/>
      <protection hidden="1"/>
    </xf>
    <xf numFmtId="0" fontId="21" fillId="12" borderId="14" xfId="0" applyFont="1" applyFill="1" applyBorder="1" applyAlignment="1" applyProtection="1">
      <alignment horizontal="center"/>
      <protection hidden="1"/>
    </xf>
    <xf numFmtId="0" fontId="21" fillId="0" borderId="35" xfId="0" applyNumberFormat="1" applyFont="1" applyBorder="1" applyAlignment="1" applyProtection="1">
      <alignment horizontal="right"/>
      <protection locked="0"/>
    </xf>
    <xf numFmtId="0" fontId="21" fillId="0" borderId="59" xfId="0" applyNumberFormat="1" applyFont="1" applyBorder="1" applyAlignment="1" applyProtection="1">
      <alignment horizontal="right"/>
      <protection locked="0"/>
    </xf>
    <xf numFmtId="0" fontId="30" fillId="0" borderId="0" xfId="1" applyFont="1" applyFill="1" applyBorder="1" applyAlignment="1" applyProtection="1">
      <alignment horizontal="left"/>
      <protection hidden="1"/>
    </xf>
    <xf numFmtId="0" fontId="21" fillId="12" borderId="29" xfId="0" applyFont="1" applyFill="1" applyBorder="1" applyAlignment="1" applyProtection="1">
      <alignment horizontal="center"/>
      <protection hidden="1"/>
    </xf>
    <xf numFmtId="0" fontId="21" fillId="12" borderId="33" xfId="0" applyFont="1" applyFill="1" applyBorder="1" applyAlignment="1" applyProtection="1">
      <alignment horizontal="center"/>
      <protection hidden="1"/>
    </xf>
    <xf numFmtId="0" fontId="0" fillId="0" borderId="5" xfId="0" applyBorder="1" applyAlignment="1"/>
    <xf numFmtId="0" fontId="0" fillId="3" borderId="18" xfId="0" applyFill="1" applyBorder="1" applyAlignment="1"/>
    <xf numFmtId="0" fontId="0" fillId="0" borderId="0" xfId="0" applyAlignment="1">
      <alignment horizontal="center"/>
    </xf>
    <xf numFmtId="2" fontId="0" fillId="0" borderId="19" xfId="0" applyNumberFormat="1" applyBorder="1" applyAlignment="1" applyProtection="1">
      <alignment horizontal="right"/>
      <protection locked="0"/>
    </xf>
    <xf numFmtId="2" fontId="0" fillId="0" borderId="3" xfId="0" applyNumberFormat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3" borderId="19" xfId="0" applyFill="1" applyBorder="1" applyAlignment="1">
      <alignment horizontal="center" vertical="center"/>
    </xf>
    <xf numFmtId="0" fontId="7" fillId="13" borderId="7" xfId="0" applyFont="1" applyFill="1" applyBorder="1" applyAlignment="1">
      <alignment horizontal="left"/>
    </xf>
    <xf numFmtId="0" fontId="7" fillId="3" borderId="5" xfId="0" applyNumberFormat="1" applyFont="1" applyFill="1" applyBorder="1" applyAlignment="1" applyProtection="1">
      <alignment horizontal="left"/>
      <protection locked="0"/>
    </xf>
    <xf numFmtId="0" fontId="7" fillId="13" borderId="7" xfId="0" applyFont="1" applyFill="1" applyBorder="1">
      <alignment horizontal="left"/>
    </xf>
    <xf numFmtId="0" fontId="7" fillId="3" borderId="5" xfId="0" applyNumberFormat="1" applyFont="1" applyFill="1" applyBorder="1" applyProtection="1">
      <alignment horizontal="left"/>
      <protection locked="0"/>
    </xf>
    <xf numFmtId="2" fontId="0" fillId="3" borderId="5" xfId="0" applyNumberFormat="1" applyFill="1" applyBorder="1" applyAlignment="1"/>
    <xf numFmtId="167" fontId="0" fillId="3" borderId="5" xfId="0" applyNumberFormat="1" applyFill="1" applyBorder="1" applyAlignment="1"/>
    <xf numFmtId="0" fontId="8" fillId="3" borderId="5" xfId="0" applyNumberFormat="1" applyFont="1" applyFill="1" applyBorder="1" applyAlignment="1" applyProtection="1">
      <alignment horizontal="left"/>
      <protection locked="0"/>
    </xf>
    <xf numFmtId="0" fontId="7" fillId="3" borderId="39" xfId="0" applyNumberFormat="1" applyFont="1" applyFill="1" applyBorder="1" applyAlignment="1" applyProtection="1">
      <alignment horizontal="left"/>
      <protection locked="0"/>
    </xf>
    <xf numFmtId="0" fontId="0" fillId="3" borderId="39" xfId="0" applyFill="1" applyBorder="1" applyAlignment="1"/>
    <xf numFmtId="0" fontId="0" fillId="3" borderId="41" xfId="0" applyFill="1" applyBorder="1" applyAlignment="1"/>
    <xf numFmtId="0" fontId="7" fillId="13" borderId="47" xfId="0" applyFont="1" applyFill="1" applyBorder="1" applyAlignment="1">
      <alignment horizontal="left"/>
    </xf>
    <xf numFmtId="0" fontId="7" fillId="13" borderId="65" xfId="0" applyFont="1" applyFill="1" applyBorder="1" applyAlignment="1">
      <alignment horizontal="left"/>
    </xf>
    <xf numFmtId="0" fontId="7" fillId="13" borderId="8" xfId="0" applyFont="1" applyFill="1" applyBorder="1" applyAlignment="1">
      <alignment horizontal="left"/>
    </xf>
    <xf numFmtId="0" fontId="7" fillId="3" borderId="6" xfId="0" applyNumberFormat="1" applyFont="1" applyFill="1" applyBorder="1" applyAlignment="1" applyProtection="1">
      <alignment horizontal="left"/>
      <protection locked="0"/>
    </xf>
    <xf numFmtId="0" fontId="4" fillId="3" borderId="21" xfId="0" applyFont="1" applyFill="1" applyBorder="1" applyAlignment="1"/>
    <xf numFmtId="0" fontId="0" fillId="3" borderId="70" xfId="0" applyFill="1" applyBorder="1" applyAlignment="1"/>
    <xf numFmtId="167" fontId="0" fillId="3" borderId="6" xfId="0" applyNumberFormat="1" applyFill="1" applyBorder="1" applyAlignment="1"/>
    <xf numFmtId="0" fontId="0" fillId="0" borderId="0" xfId="0" applyBorder="1" applyAlignment="1">
      <alignment horizontal="right"/>
    </xf>
    <xf numFmtId="0" fontId="0" fillId="3" borderId="50" xfId="0" applyFill="1" applyBorder="1" applyAlignment="1"/>
    <xf numFmtId="0" fontId="7" fillId="13" borderId="66" xfId="0" applyFont="1" applyFill="1" applyBorder="1" applyAlignment="1">
      <alignment horizontal="left"/>
    </xf>
    <xf numFmtId="0" fontId="0" fillId="0" borderId="41" xfId="0" applyBorder="1" applyAlignment="1" applyProtection="1">
      <alignment horizontal="right"/>
      <protection locked="0"/>
    </xf>
    <xf numFmtId="0" fontId="7" fillId="13" borderId="74" xfId="0" applyFont="1" applyFill="1" applyBorder="1" applyAlignment="1">
      <alignment horizontal="left"/>
    </xf>
    <xf numFmtId="0" fontId="7" fillId="3" borderId="40" xfId="0" applyNumberFormat="1" applyFont="1" applyFill="1" applyBorder="1" applyAlignment="1" applyProtection="1">
      <alignment horizontal="left"/>
      <protection locked="0"/>
    </xf>
    <xf numFmtId="0" fontId="0" fillId="3" borderId="40" xfId="0" applyFill="1" applyBorder="1" applyAlignment="1"/>
    <xf numFmtId="0" fontId="0" fillId="3" borderId="75" xfId="0" applyFill="1" applyBorder="1" applyAlignment="1"/>
    <xf numFmtId="167" fontId="0" fillId="3" borderId="39" xfId="0" applyNumberFormat="1" applyFill="1" applyBorder="1" applyAlignment="1"/>
    <xf numFmtId="0" fontId="0" fillId="0" borderId="2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Border="1" applyAlignment="1" applyProtection="1">
      <alignment horizontal="right"/>
      <protection locked="0"/>
    </xf>
    <xf numFmtId="0" fontId="7" fillId="3" borderId="68" xfId="0" applyNumberFormat="1" applyFont="1" applyFill="1" applyBorder="1" applyAlignment="1" applyProtection="1">
      <alignment horizontal="left"/>
      <protection locked="0"/>
    </xf>
    <xf numFmtId="167" fontId="0" fillId="3" borderId="68" xfId="0" applyNumberFormat="1" applyFill="1" applyBorder="1" applyAlignment="1"/>
    <xf numFmtId="0" fontId="0" fillId="3" borderId="76" xfId="0" applyFill="1" applyBorder="1" applyAlignment="1"/>
    <xf numFmtId="0" fontId="21" fillId="0" borderId="0" xfId="0" applyFont="1" applyBorder="1" applyAlignment="1" applyProtection="1">
      <alignment horizontal="center"/>
      <protection hidden="1"/>
    </xf>
    <xf numFmtId="0" fontId="0" fillId="8" borderId="46" xfId="0" applyFill="1" applyBorder="1" applyAlignment="1" applyProtection="1">
      <alignment vertical="center"/>
      <protection hidden="1"/>
    </xf>
    <xf numFmtId="2" fontId="0" fillId="0" borderId="44" xfId="0" applyNumberFormat="1" applyBorder="1" applyAlignment="1" applyProtection="1">
      <alignment horizontal="center"/>
      <protection locked="0"/>
    </xf>
    <xf numFmtId="2" fontId="0" fillId="0" borderId="41" xfId="0" applyNumberFormat="1" applyBorder="1" applyAlignment="1" applyProtection="1">
      <protection hidden="1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0" fillId="0" borderId="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21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1" fillId="0" borderId="0" xfId="0" applyFont="1" applyBorder="1" applyAlignment="1">
      <alignment horizontal="center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0" fillId="0" borderId="3" xfId="0" applyBorder="1" applyAlignment="1"/>
    <xf numFmtId="0" fontId="5" fillId="5" borderId="19" xfId="0" applyFont="1" applyFill="1" applyBorder="1" applyAlignment="1">
      <alignment horizontal="center"/>
    </xf>
    <xf numFmtId="0" fontId="0" fillId="3" borderId="13" xfId="0" applyNumberFormat="1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0" borderId="29" xfId="0" applyFill="1" applyBorder="1" applyAlignment="1">
      <alignment horizontal="left"/>
    </xf>
    <xf numFmtId="0" fontId="0" fillId="0" borderId="33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0" fillId="0" borderId="13" xfId="0" applyBorder="1" applyAlignment="1"/>
    <xf numFmtId="0" fontId="0" fillId="0" borderId="13" xfId="0" applyFill="1" applyBorder="1" applyAlignment="1">
      <alignment wrapText="1"/>
    </xf>
    <xf numFmtId="0" fontId="0" fillId="0" borderId="13" xfId="0" applyFill="1" applyBorder="1" applyAlignment="1"/>
    <xf numFmtId="0" fontId="0" fillId="0" borderId="14" xfId="0" applyFill="1" applyBorder="1" applyAlignment="1"/>
    <xf numFmtId="0" fontId="0" fillId="0" borderId="14" xfId="0" applyBorder="1" applyAlignment="1">
      <alignment horizontal="center" vertical="center"/>
    </xf>
    <xf numFmtId="0" fontId="0" fillId="0" borderId="17" xfId="0" applyBorder="1" applyAlignment="1"/>
    <xf numFmtId="0" fontId="0" fillId="0" borderId="19" xfId="0" applyBorder="1" applyAlignment="1"/>
    <xf numFmtId="0" fontId="0" fillId="0" borderId="8" xfId="0" applyBorder="1" applyAlignment="1"/>
    <xf numFmtId="0" fontId="0" fillId="0" borderId="30" xfId="0" applyFill="1" applyBorder="1" applyAlignment="1">
      <alignment horizontal="left"/>
    </xf>
    <xf numFmtId="0" fontId="0" fillId="0" borderId="30" xfId="0" applyFill="1" applyBorder="1" applyAlignment="1">
      <alignment horizontal="left" vertical="center"/>
    </xf>
    <xf numFmtId="0" fontId="0" fillId="0" borderId="31" xfId="0" applyFill="1" applyBorder="1" applyAlignment="1">
      <alignment horizontal="left"/>
    </xf>
    <xf numFmtId="0" fontId="0" fillId="0" borderId="32" xfId="0" applyBorder="1" applyAlignment="1"/>
    <xf numFmtId="0" fontId="0" fillId="0" borderId="32" xfId="0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26" xfId="0" applyBorder="1" applyAlignment="1"/>
    <xf numFmtId="0" fontId="4" fillId="0" borderId="26" xfId="0" applyFont="1" applyBorder="1" applyAlignment="1">
      <alignment horizontal="center"/>
    </xf>
    <xf numFmtId="0" fontId="0" fillId="0" borderId="27" xfId="0" applyBorder="1" applyAlignment="1"/>
    <xf numFmtId="0" fontId="0" fillId="7" borderId="30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/>
    </xf>
    <xf numFmtId="2" fontId="0" fillId="0" borderId="50" xfId="0" applyNumberFormat="1" applyBorder="1" applyAlignment="1" applyProtection="1">
      <protection hidden="1"/>
    </xf>
    <xf numFmtId="2" fontId="21" fillId="0" borderId="48" xfId="0" applyNumberFormat="1" applyFont="1" applyBorder="1" applyAlignment="1" applyProtection="1">
      <alignment horizontal="center" wrapText="1"/>
      <protection locked="0"/>
    </xf>
    <xf numFmtId="0" fontId="21" fillId="0" borderId="66" xfId="0" applyFont="1" applyFill="1" applyBorder="1" applyAlignment="1" applyProtection="1">
      <alignment vertical="center"/>
      <protection hidden="1"/>
    </xf>
    <xf numFmtId="0" fontId="0" fillId="7" borderId="15" xfId="0" applyFill="1" applyBorder="1" applyAlignment="1">
      <alignment horizontal="center"/>
    </xf>
    <xf numFmtId="0" fontId="0" fillId="7" borderId="5" xfId="0" applyFill="1" applyBorder="1" applyAlignment="1">
      <alignment horizontal="left"/>
    </xf>
    <xf numFmtId="0" fontId="0" fillId="7" borderId="6" xfId="0" applyFill="1" applyBorder="1" applyAlignment="1">
      <alignment horizontal="left"/>
    </xf>
    <xf numFmtId="0" fontId="0" fillId="7" borderId="47" xfId="0" applyFill="1" applyBorder="1" applyAlignment="1">
      <alignment horizontal="left"/>
    </xf>
    <xf numFmtId="0" fontId="0" fillId="7" borderId="46" xfId="0" applyFill="1" applyBorder="1" applyAlignment="1">
      <alignment horizontal="left"/>
    </xf>
    <xf numFmtId="0" fontId="0" fillId="7" borderId="80" xfId="0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38" fillId="0" borderId="7" xfId="0" applyFont="1" applyFill="1" applyBorder="1" applyAlignment="1">
      <alignment horizontal="left"/>
    </xf>
    <xf numFmtId="2" fontId="0" fillId="0" borderId="5" xfId="0" applyNumberFormat="1" applyFill="1" applyBorder="1" applyAlignment="1">
      <alignment horizontal="right"/>
    </xf>
    <xf numFmtId="0" fontId="0" fillId="0" borderId="22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0" fillId="0" borderId="5" xfId="0" applyFill="1" applyBorder="1" applyAlignment="1" applyProtection="1">
      <protection locked="0"/>
    </xf>
    <xf numFmtId="166" fontId="0" fillId="0" borderId="5" xfId="0" applyNumberFormat="1" applyFill="1" applyBorder="1" applyAlignment="1" applyProtection="1">
      <alignment horizontal="right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protection locked="0"/>
    </xf>
    <xf numFmtId="0" fontId="0" fillId="0" borderId="5" xfId="0" applyBorder="1" applyAlignment="1"/>
    <xf numFmtId="0" fontId="5" fillId="5" borderId="19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0" borderId="13" xfId="0" applyFill="1" applyBorder="1" applyAlignment="1" applyProtection="1">
      <alignment horizontal="right" vertical="center"/>
      <protection locked="0"/>
    </xf>
    <xf numFmtId="0" fontId="0" fillId="0" borderId="32" xfId="0" applyFill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164" fontId="0" fillId="0" borderId="5" xfId="0" applyNumberFormat="1" applyBorder="1" applyAlignment="1" applyProtection="1">
      <alignment horizontal="right"/>
      <protection locked="0"/>
    </xf>
    <xf numFmtId="166" fontId="0" fillId="0" borderId="5" xfId="0" applyNumberFormat="1" applyBorder="1" applyAlignment="1" applyProtection="1">
      <alignment horizontal="right"/>
      <protection locked="0"/>
    </xf>
    <xf numFmtId="2" fontId="6" fillId="0" borderId="5" xfId="0" applyNumberFormat="1" applyFont="1" applyFill="1" applyBorder="1" applyAlignment="1" applyProtection="1">
      <protection locked="0"/>
    </xf>
    <xf numFmtId="0" fontId="0" fillId="0" borderId="3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/>
    <xf numFmtId="0" fontId="0" fillId="0" borderId="2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2" xfId="0" applyNumberFormat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left"/>
    </xf>
    <xf numFmtId="2" fontId="0" fillId="0" borderId="0" xfId="0" applyNumberFormat="1" applyBorder="1" applyAlignment="1">
      <alignment horizontal="right"/>
    </xf>
    <xf numFmtId="0" fontId="6" fillId="0" borderId="8" xfId="0" applyFont="1" applyFill="1" applyBorder="1" applyAlignment="1">
      <alignment horizontal="left"/>
    </xf>
    <xf numFmtId="0" fontId="0" fillId="3" borderId="0" xfId="0" applyFill="1" applyBorder="1" applyAlignment="1" applyProtection="1"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1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6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39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6" borderId="32" xfId="0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center"/>
      <protection locked="0"/>
    </xf>
    <xf numFmtId="0" fontId="0" fillId="6" borderId="32" xfId="0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protection locked="0"/>
    </xf>
    <xf numFmtId="0" fontId="0" fillId="0" borderId="39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2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6" borderId="49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68" xfId="0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right"/>
      <protection locked="0"/>
    </xf>
    <xf numFmtId="166" fontId="0" fillId="0" borderId="0" xfId="0" applyNumberForma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right"/>
      <protection locked="0"/>
    </xf>
    <xf numFmtId="166" fontId="0" fillId="0" borderId="39" xfId="0" applyNumberFormat="1" applyBorder="1" applyAlignment="1" applyProtection="1">
      <alignment horizontal="right"/>
      <protection locked="0"/>
    </xf>
    <xf numFmtId="166" fontId="0" fillId="0" borderId="6" xfId="0" applyNumberFormat="1" applyBorder="1" applyAlignment="1" applyProtection="1">
      <alignment horizontal="right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/>
      <protection locked="0"/>
    </xf>
    <xf numFmtId="0" fontId="0" fillId="6" borderId="70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0" borderId="3" xfId="0" applyBorder="1" applyAlignment="1"/>
    <xf numFmtId="0" fontId="0" fillId="0" borderId="5" xfId="0" applyBorder="1" applyAlignment="1"/>
    <xf numFmtId="0" fontId="5" fillId="5" borderId="19" xfId="0" applyFont="1" applyFill="1" applyBorder="1" applyAlignment="1">
      <alignment horizontal="center"/>
    </xf>
    <xf numFmtId="0" fontId="0" fillId="5" borderId="17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left" vertical="center"/>
    </xf>
    <xf numFmtId="2" fontId="4" fillId="0" borderId="22" xfId="0" applyNumberFormat="1" applyFont="1" applyBorder="1" applyAlignment="1">
      <alignment horizontal="center" vertical="center"/>
    </xf>
    <xf numFmtId="166" fontId="4" fillId="0" borderId="22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0" fillId="0" borderId="54" xfId="0" applyBorder="1" applyAlignment="1"/>
    <xf numFmtId="1" fontId="0" fillId="0" borderId="5" xfId="0" applyNumberFormat="1" applyBorder="1" applyAlignment="1">
      <alignment horizontal="right"/>
    </xf>
    <xf numFmtId="1" fontId="6" fillId="0" borderId="5" xfId="0" applyNumberFormat="1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1" fontId="0" fillId="0" borderId="5" xfId="0" applyNumberFormat="1" applyBorder="1" applyAlignment="1"/>
    <xf numFmtId="1" fontId="0" fillId="0" borderId="6" xfId="0" applyNumberFormat="1" applyBorder="1" applyAlignment="1"/>
    <xf numFmtId="0" fontId="38" fillId="0" borderId="0" xfId="0" applyFont="1" applyAlignment="1"/>
    <xf numFmtId="0" fontId="0" fillId="0" borderId="0" xfId="0" applyAlignment="1">
      <alignment horizontal="center"/>
    </xf>
    <xf numFmtId="0" fontId="2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Border="1" applyAlignment="1">
      <alignment horizontal="center"/>
    </xf>
    <xf numFmtId="0" fontId="41" fillId="0" borderId="5" xfId="0" applyNumberFormat="1" applyFont="1" applyBorder="1" applyAlignment="1"/>
    <xf numFmtId="0" fontId="42" fillId="0" borderId="5" xfId="0" applyNumberFormat="1" applyFont="1" applyFill="1" applyBorder="1" applyAlignment="1">
      <alignment horizontal="center" vertical="center"/>
    </xf>
    <xf numFmtId="0" fontId="41" fillId="0" borderId="5" xfId="0" applyNumberFormat="1" applyFont="1" applyFill="1" applyBorder="1" applyAlignment="1" applyProtection="1">
      <alignment horizontal="right"/>
      <protection locked="0"/>
    </xf>
    <xf numFmtId="167" fontId="42" fillId="0" borderId="5" xfId="0" applyNumberFormat="1" applyFont="1" applyFill="1" applyBorder="1" applyAlignment="1">
      <alignment horizontal="center" vertical="center"/>
    </xf>
    <xf numFmtId="0" fontId="41" fillId="0" borderId="5" xfId="0" applyNumberFormat="1" applyFont="1" applyFill="1" applyBorder="1" applyAlignment="1" applyProtection="1">
      <protection locked="0"/>
    </xf>
    <xf numFmtId="167" fontId="42" fillId="0" borderId="39" xfId="0" applyNumberFormat="1" applyFont="1" applyFill="1" applyBorder="1" applyAlignment="1">
      <alignment horizontal="center" vertical="center"/>
    </xf>
    <xf numFmtId="0" fontId="42" fillId="0" borderId="39" xfId="0" applyNumberFormat="1" applyFont="1" applyFill="1" applyBorder="1" applyAlignment="1">
      <alignment horizontal="center" vertical="center"/>
    </xf>
    <xf numFmtId="0" fontId="41" fillId="0" borderId="7" xfId="0" applyNumberFormat="1" applyFont="1" applyFill="1" applyBorder="1" applyAlignment="1" applyProtection="1">
      <alignment vertical="center"/>
      <protection hidden="1"/>
    </xf>
    <xf numFmtId="0" fontId="42" fillId="0" borderId="5" xfId="0" applyNumberFormat="1" applyFont="1" applyFill="1" applyBorder="1" applyAlignment="1" applyProtection="1">
      <alignment horizontal="center" vertical="center"/>
      <protection locked="0"/>
    </xf>
    <xf numFmtId="0" fontId="41" fillId="0" borderId="5" xfId="0" applyNumberFormat="1" applyFont="1" applyBorder="1" applyAlignment="1" applyProtection="1">
      <protection locked="0"/>
    </xf>
    <xf numFmtId="0" fontId="41" fillId="0" borderId="7" xfId="0" applyNumberFormat="1" applyFont="1" applyFill="1" applyBorder="1" applyAlignment="1" applyProtection="1">
      <protection hidden="1"/>
    </xf>
    <xf numFmtId="0" fontId="41" fillId="0" borderId="5" xfId="0" applyFont="1" applyBorder="1" applyAlignment="1"/>
    <xf numFmtId="0" fontId="42" fillId="0" borderId="5" xfId="0" applyFont="1" applyBorder="1" applyAlignment="1">
      <alignment horizontal="center"/>
    </xf>
    <xf numFmtId="0" fontId="41" fillId="0" borderId="5" xfId="0" applyFont="1" applyBorder="1" applyAlignment="1" applyProtection="1">
      <protection locked="0"/>
    </xf>
    <xf numFmtId="0" fontId="21" fillId="7" borderId="17" xfId="0" applyFont="1" applyFill="1" applyBorder="1" applyAlignment="1">
      <alignment horizontal="center"/>
    </xf>
    <xf numFmtId="2" fontId="21" fillId="0" borderId="22" xfId="0" applyNumberFormat="1" applyFont="1" applyBorder="1" applyAlignment="1" applyProtection="1">
      <alignment horizontal="center" vertical="center"/>
      <protection locked="0"/>
    </xf>
    <xf numFmtId="0" fontId="21" fillId="7" borderId="8" xfId="0" applyFont="1" applyFill="1" applyBorder="1" applyAlignment="1">
      <alignment horizontal="center"/>
    </xf>
    <xf numFmtId="2" fontId="21" fillId="0" borderId="6" xfId="0" applyNumberFormat="1" applyFont="1" applyBorder="1" applyAlignment="1" applyProtection="1">
      <alignment horizontal="center" vertical="center"/>
      <protection locked="0"/>
    </xf>
    <xf numFmtId="0" fontId="21" fillId="0" borderId="22" xfId="0" applyNumberFormat="1" applyFont="1" applyBorder="1" applyAlignment="1" applyProtection="1">
      <alignment horizontal="center" vertical="center"/>
      <protection locked="0"/>
    </xf>
    <xf numFmtId="0" fontId="21" fillId="0" borderId="6" xfId="0" applyNumberFormat="1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9" fillId="5" borderId="36" xfId="0" applyFont="1" applyFill="1" applyBorder="1" applyAlignment="1">
      <alignment horizontal="center" vertical="center"/>
    </xf>
    <xf numFmtId="0" fontId="29" fillId="5" borderId="37" xfId="0" applyFont="1" applyFill="1" applyBorder="1" applyAlignment="1">
      <alignment horizontal="center" vertical="center"/>
    </xf>
    <xf numFmtId="0" fontId="29" fillId="9" borderId="37" xfId="0" applyFont="1" applyFill="1" applyBorder="1" applyAlignment="1">
      <alignment horizontal="center" vertical="center"/>
    </xf>
    <xf numFmtId="0" fontId="29" fillId="5" borderId="38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6" fillId="0" borderId="17" xfId="0" applyFont="1" applyFill="1" applyBorder="1" applyAlignment="1">
      <alignment horizontal="left"/>
    </xf>
    <xf numFmtId="168" fontId="26" fillId="0" borderId="22" xfId="0" applyNumberFormat="1" applyFont="1" applyFill="1" applyBorder="1" applyAlignment="1" applyProtection="1">
      <alignment horizontal="right"/>
      <protection hidden="1"/>
    </xf>
    <xf numFmtId="168" fontId="21" fillId="0" borderId="0" xfId="0" applyNumberFormat="1" applyFont="1" applyBorder="1" applyAlignment="1" applyProtection="1">
      <protection hidden="1"/>
    </xf>
    <xf numFmtId="168" fontId="26" fillId="0" borderId="5" xfId="0" applyNumberFormat="1" applyFont="1" applyFill="1" applyBorder="1" applyAlignment="1" applyProtection="1">
      <alignment horizontal="right"/>
      <protection hidden="1"/>
    </xf>
    <xf numFmtId="168" fontId="21" fillId="0" borderId="5" xfId="0" applyNumberFormat="1" applyFont="1" applyBorder="1" applyAlignment="1" applyProtection="1">
      <alignment horizontal="right"/>
      <protection hidden="1"/>
    </xf>
    <xf numFmtId="168" fontId="26" fillId="0" borderId="5" xfId="0" applyNumberFormat="1" applyFont="1" applyFill="1" applyBorder="1" applyAlignment="1" applyProtection="1">
      <alignment horizontal="right" vertical="center"/>
      <protection hidden="1"/>
    </xf>
    <xf numFmtId="0" fontId="21" fillId="0" borderId="8" xfId="0" applyFont="1" applyBorder="1" applyAlignment="1"/>
    <xf numFmtId="168" fontId="21" fillId="0" borderId="6" xfId="0" applyNumberFormat="1" applyFont="1" applyBorder="1" applyAlignment="1" applyProtection="1">
      <protection hidden="1"/>
    </xf>
    <xf numFmtId="2" fontId="21" fillId="0" borderId="70" xfId="0" applyNumberFormat="1" applyFont="1" applyBorder="1" applyAlignment="1"/>
    <xf numFmtId="2" fontId="21" fillId="0" borderId="22" xfId="0" applyNumberFormat="1" applyFont="1" applyFill="1" applyBorder="1" applyAlignment="1" applyProtection="1">
      <alignment horizontal="right"/>
      <protection locked="0"/>
    </xf>
    <xf numFmtId="0" fontId="21" fillId="0" borderId="8" xfId="0" applyFont="1" applyFill="1" applyBorder="1" applyAlignment="1" applyProtection="1">
      <protection hidden="1"/>
    </xf>
    <xf numFmtId="0" fontId="21" fillId="0" borderId="48" xfId="0" applyFont="1" applyFill="1" applyBorder="1" applyAlignment="1" applyProtection="1">
      <alignment horizontal="right"/>
      <protection locked="0"/>
    </xf>
    <xf numFmtId="0" fontId="36" fillId="0" borderId="0" xfId="0" applyFont="1" applyAlignment="1">
      <alignment horizontal="center" vertical="center"/>
    </xf>
    <xf numFmtId="0" fontId="44" fillId="0" borderId="0" xfId="0" applyFont="1" applyAlignment="1"/>
    <xf numFmtId="4" fontId="21" fillId="0" borderId="19" xfId="0" applyNumberFormat="1" applyFont="1" applyBorder="1" applyAlignment="1" applyProtection="1">
      <protection hidden="1"/>
    </xf>
    <xf numFmtId="4" fontId="21" fillId="0" borderId="3" xfId="0" applyNumberFormat="1" applyFont="1" applyBorder="1" applyAlignment="1" applyProtection="1">
      <protection hidden="1"/>
    </xf>
    <xf numFmtId="4" fontId="21" fillId="0" borderId="4" xfId="0" applyNumberFormat="1" applyFont="1" applyBorder="1" applyAlignment="1" applyProtection="1">
      <protection hidden="1"/>
    </xf>
    <xf numFmtId="0" fontId="41" fillId="0" borderId="7" xfId="0" applyNumberFormat="1" applyFont="1" applyBorder="1" applyAlignment="1"/>
    <xf numFmtId="2" fontId="0" fillId="0" borderId="70" xfId="0" applyNumberFormat="1" applyBorder="1" applyAlignment="1"/>
    <xf numFmtId="4" fontId="26" fillId="0" borderId="22" xfId="0" applyNumberFormat="1" applyFont="1" applyFill="1" applyBorder="1" applyAlignment="1" applyProtection="1">
      <alignment horizontal="right"/>
      <protection hidden="1"/>
    </xf>
    <xf numFmtId="4" fontId="26" fillId="0" borderId="5" xfId="0" applyNumberFormat="1" applyFont="1" applyFill="1" applyBorder="1" applyAlignment="1" applyProtection="1">
      <alignment horizontal="right"/>
      <protection hidden="1"/>
    </xf>
    <xf numFmtId="4" fontId="21" fillId="0" borderId="5" xfId="0" applyNumberFormat="1" applyFont="1" applyBorder="1" applyAlignment="1" applyProtection="1">
      <alignment horizontal="right"/>
      <protection hidden="1"/>
    </xf>
    <xf numFmtId="4" fontId="26" fillId="0" borderId="5" xfId="0" applyNumberFormat="1" applyFont="1" applyFill="1" applyBorder="1" applyAlignment="1" applyProtection="1">
      <alignment horizontal="right" vertical="center"/>
      <protection hidden="1"/>
    </xf>
    <xf numFmtId="4" fontId="21" fillId="0" borderId="6" xfId="0" applyNumberFormat="1" applyFont="1" applyBorder="1" applyAlignment="1" applyProtection="1">
      <protection hidden="1"/>
    </xf>
    <xf numFmtId="2" fontId="41" fillId="0" borderId="22" xfId="1" applyNumberFormat="1" applyFont="1" applyFill="1" applyBorder="1" applyAlignment="1" applyProtection="1">
      <alignment horizontal="right"/>
      <protection hidden="1"/>
    </xf>
    <xf numFmtId="2" fontId="41" fillId="0" borderId="5" xfId="1" applyNumberFormat="1" applyFont="1" applyFill="1" applyBorder="1" applyAlignment="1" applyProtection="1">
      <alignment horizontal="right"/>
      <protection hidden="1"/>
    </xf>
    <xf numFmtId="2" fontId="41" fillId="0" borderId="6" xfId="1" applyNumberFormat="1" applyFont="1" applyFill="1" applyBorder="1" applyAlignment="1" applyProtection="1">
      <alignment horizontal="right"/>
      <protection hidden="1"/>
    </xf>
    <xf numFmtId="0" fontId="21" fillId="7" borderId="65" xfId="0" applyFont="1" applyFill="1" applyBorder="1" applyAlignment="1">
      <alignment horizontal="center"/>
    </xf>
    <xf numFmtId="0" fontId="21" fillId="0" borderId="34" xfId="0" applyFont="1" applyFill="1" applyBorder="1" applyAlignment="1" applyProtection="1">
      <alignment horizontal="center" vertical="center" wrapText="1"/>
      <protection hidden="1"/>
    </xf>
    <xf numFmtId="0" fontId="21" fillId="0" borderId="48" xfId="0" applyFont="1" applyBorder="1" applyAlignment="1">
      <alignment horizontal="center"/>
    </xf>
    <xf numFmtId="168" fontId="21" fillId="0" borderId="19" xfId="0" applyNumberFormat="1" applyFont="1" applyBorder="1" applyAlignment="1" applyProtection="1">
      <protection hidden="1"/>
    </xf>
    <xf numFmtId="168" fontId="21" fillId="0" borderId="3" xfId="0" applyNumberFormat="1" applyFont="1" applyBorder="1" applyAlignment="1" applyProtection="1">
      <protection hidden="1"/>
    </xf>
    <xf numFmtId="168" fontId="21" fillId="0" borderId="4" xfId="0" applyNumberFormat="1" applyFont="1" applyBorder="1" applyAlignment="1" applyProtection="1">
      <protection hidden="1"/>
    </xf>
    <xf numFmtId="2" fontId="26" fillId="0" borderId="22" xfId="0" applyNumberFormat="1" applyFont="1" applyFill="1" applyBorder="1" applyAlignment="1" applyProtection="1">
      <alignment horizontal="right"/>
      <protection hidden="1"/>
    </xf>
    <xf numFmtId="0" fontId="21" fillId="7" borderId="17" xfId="0" applyFont="1" applyFill="1" applyBorder="1" applyAlignment="1" applyProtection="1">
      <alignment horizontal="center"/>
    </xf>
    <xf numFmtId="0" fontId="21" fillId="7" borderId="7" xfId="0" applyFont="1" applyFill="1" applyBorder="1" applyAlignment="1" applyProtection="1">
      <alignment horizontal="center"/>
    </xf>
    <xf numFmtId="0" fontId="21" fillId="0" borderId="63" xfId="0" applyNumberFormat="1" applyFont="1" applyBorder="1" applyAlignment="1" applyProtection="1">
      <alignment horizontal="center" vertical="center"/>
      <protection locked="0"/>
    </xf>
    <xf numFmtId="0" fontId="21" fillId="14" borderId="17" xfId="0" applyFont="1" applyFill="1" applyBorder="1" applyAlignment="1">
      <alignment horizontal="center"/>
    </xf>
    <xf numFmtId="0" fontId="21" fillId="0" borderId="22" xfId="0" applyNumberFormat="1" applyFont="1" applyBorder="1" applyAlignment="1" applyProtection="1">
      <alignment horizontal="center"/>
      <protection locked="0"/>
    </xf>
    <xf numFmtId="0" fontId="21" fillId="14" borderId="47" xfId="0" applyFont="1" applyFill="1" applyBorder="1" applyAlignment="1">
      <alignment horizontal="center"/>
    </xf>
    <xf numFmtId="0" fontId="21" fillId="0" borderId="23" xfId="0" applyNumberFormat="1" applyFont="1" applyBorder="1" applyAlignment="1" applyProtection="1">
      <alignment horizontal="center"/>
      <protection locked="0"/>
    </xf>
    <xf numFmtId="0" fontId="21" fillId="14" borderId="7" xfId="0" applyFont="1" applyFill="1" applyBorder="1" applyAlignment="1">
      <alignment horizontal="center"/>
    </xf>
    <xf numFmtId="0" fontId="21" fillId="0" borderId="5" xfId="0" applyNumberFormat="1" applyFont="1" applyBorder="1" applyAlignment="1" applyProtection="1">
      <alignment horizontal="center"/>
      <protection locked="0"/>
    </xf>
    <xf numFmtId="0" fontId="21" fillId="14" borderId="8" xfId="0" applyFont="1" applyFill="1" applyBorder="1" applyAlignment="1">
      <alignment horizontal="center"/>
    </xf>
    <xf numFmtId="0" fontId="21" fillId="0" borderId="6" xfId="0" applyNumberFormat="1" applyFont="1" applyBorder="1" applyAlignment="1" applyProtection="1">
      <alignment horizontal="center"/>
      <protection locked="0"/>
    </xf>
    <xf numFmtId="0" fontId="26" fillId="0" borderId="47" xfId="0" applyFont="1" applyFill="1" applyBorder="1" applyAlignment="1">
      <alignment horizontal="left"/>
    </xf>
    <xf numFmtId="168" fontId="26" fillId="0" borderId="23" xfId="0" applyNumberFormat="1" applyFont="1" applyFill="1" applyBorder="1" applyAlignment="1" applyProtection="1">
      <alignment horizontal="right"/>
      <protection hidden="1"/>
    </xf>
    <xf numFmtId="168" fontId="21" fillId="0" borderId="56" xfId="0" applyNumberFormat="1" applyFont="1" applyBorder="1" applyAlignment="1" applyProtection="1">
      <protection hidden="1"/>
    </xf>
    <xf numFmtId="0" fontId="26" fillId="0" borderId="22" xfId="0" applyNumberFormat="1" applyFont="1" applyFill="1" applyBorder="1" applyAlignment="1" applyProtection="1">
      <alignment horizontal="right"/>
      <protection hidden="1"/>
    </xf>
    <xf numFmtId="0" fontId="26" fillId="0" borderId="23" xfId="0" applyNumberFormat="1" applyFont="1" applyFill="1" applyBorder="1" applyAlignment="1" applyProtection="1">
      <alignment horizontal="right"/>
      <protection hidden="1"/>
    </xf>
    <xf numFmtId="0" fontId="26" fillId="0" borderId="5" xfId="0" applyNumberFormat="1" applyFont="1" applyFill="1" applyBorder="1" applyAlignment="1" applyProtection="1">
      <alignment horizontal="right"/>
      <protection hidden="1"/>
    </xf>
    <xf numFmtId="0" fontId="21" fillId="0" borderId="5" xfId="0" applyNumberFormat="1" applyFont="1" applyBorder="1" applyAlignment="1" applyProtection="1">
      <alignment horizontal="right"/>
      <protection hidden="1"/>
    </xf>
    <xf numFmtId="0" fontId="26" fillId="0" borderId="5" xfId="0" applyNumberFormat="1" applyFont="1" applyFill="1" applyBorder="1" applyAlignment="1" applyProtection="1">
      <alignment horizontal="right" vertical="center"/>
      <protection hidden="1"/>
    </xf>
    <xf numFmtId="0" fontId="21" fillId="0" borderId="6" xfId="0" applyNumberFormat="1" applyFont="1" applyBorder="1" applyAlignment="1" applyProtection="1">
      <protection hidden="1"/>
    </xf>
    <xf numFmtId="0" fontId="29" fillId="5" borderId="53" xfId="0" applyFont="1" applyFill="1" applyBorder="1" applyAlignment="1">
      <alignment horizontal="center" vertical="center"/>
    </xf>
    <xf numFmtId="0" fontId="29" fillId="5" borderId="70" xfId="0" applyFont="1" applyFill="1" applyBorder="1" applyAlignment="1">
      <alignment horizontal="center" vertical="center"/>
    </xf>
    <xf numFmtId="2" fontId="21" fillId="0" borderId="50" xfId="0" applyNumberFormat="1" applyFont="1" applyBorder="1" applyAlignment="1"/>
    <xf numFmtId="0" fontId="4" fillId="0" borderId="64" xfId="0" applyFont="1" applyBorder="1" applyAlignment="1"/>
    <xf numFmtId="0" fontId="0" fillId="0" borderId="41" xfId="0" applyBorder="1" applyAlignment="1"/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4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0" fontId="4" fillId="0" borderId="54" xfId="0" applyFont="1" applyBorder="1" applyAlignment="1"/>
    <xf numFmtId="0" fontId="0" fillId="0" borderId="3" xfId="0" applyBorder="1" applyAlignment="1"/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4" fillId="0" borderId="3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54" xfId="0" applyFont="1" applyBorder="1" applyAlignment="1">
      <alignment wrapText="1"/>
    </xf>
    <xf numFmtId="0" fontId="2" fillId="0" borderId="5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9" fillId="0" borderId="27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right"/>
    </xf>
    <xf numFmtId="0" fontId="0" fillId="3" borderId="18" xfId="0" applyFill="1" applyBorder="1" applyAlignment="1"/>
    <xf numFmtId="0" fontId="0" fillId="3" borderId="53" xfId="0" applyFill="1" applyBorder="1" applyAlignment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3" borderId="51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7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0" fillId="0" borderId="5" xfId="0" applyBorder="1" applyAlignment="1"/>
    <xf numFmtId="0" fontId="4" fillId="0" borderId="7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0" fillId="0" borderId="3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4" fillId="0" borderId="59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54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64" xfId="0" applyFont="1" applyBorder="1" applyAlignment="1">
      <alignment horizontal="center" wrapText="1"/>
    </xf>
    <xf numFmtId="0" fontId="4" fillId="0" borderId="39" xfId="0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54" xfId="0" applyBorder="1" applyAlignment="1">
      <alignment horizontal="center"/>
    </xf>
    <xf numFmtId="0" fontId="4" fillId="0" borderId="54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6" borderId="54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2" fillId="0" borderId="34" xfId="0" applyFont="1" applyBorder="1" applyAlignment="1">
      <alignment horizontal="center" vertical="center" textRotation="90"/>
    </xf>
    <xf numFmtId="0" fontId="12" fillId="0" borderId="49" xfId="0" applyFont="1" applyBorder="1" applyAlignment="1">
      <alignment horizontal="center" vertical="center" textRotation="90"/>
    </xf>
    <xf numFmtId="0" fontId="12" fillId="0" borderId="50" xfId="0" applyFont="1" applyBorder="1" applyAlignment="1">
      <alignment horizontal="center" vertical="center" textRotation="90"/>
    </xf>
    <xf numFmtId="0" fontId="0" fillId="6" borderId="54" xfId="0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33" xfId="0" applyFont="1" applyFill="1" applyBorder="1" applyAlignment="1">
      <alignment horizontal="center" wrapText="1"/>
    </xf>
    <xf numFmtId="0" fontId="4" fillId="6" borderId="59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69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6" borderId="64" xfId="0" applyFont="1" applyFill="1" applyBorder="1" applyAlignment="1">
      <alignment horizontal="center" wrapText="1"/>
    </xf>
    <xf numFmtId="0" fontId="4" fillId="6" borderId="39" xfId="0" applyFont="1" applyFill="1" applyBorder="1" applyAlignment="1">
      <alignment horizontal="center" wrapText="1"/>
    </xf>
    <xf numFmtId="0" fontId="4" fillId="6" borderId="41" xfId="0" applyFont="1" applyFill="1" applyBorder="1" applyAlignment="1">
      <alignment horizontal="center" wrapText="1"/>
    </xf>
    <xf numFmtId="0" fontId="4" fillId="0" borderId="3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3" fillId="0" borderId="2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0" fillId="0" borderId="33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6" fillId="0" borderId="5" xfId="0" applyFont="1" applyBorder="1" applyAlignment="1">
      <alignment horizontal="center" vertical="center" textRotation="90" wrapText="1"/>
    </xf>
    <xf numFmtId="0" fontId="0" fillId="0" borderId="45" xfId="0" applyBorder="1" applyAlignment="1">
      <alignment horizontal="center"/>
    </xf>
    <xf numFmtId="0" fontId="0" fillId="0" borderId="52" xfId="0" applyBorder="1" applyAlignment="1">
      <alignment horizontal="center"/>
    </xf>
    <xf numFmtId="0" fontId="40" fillId="8" borderId="77" xfId="0" applyFont="1" applyFill="1" applyBorder="1" applyAlignment="1">
      <alignment horizontal="center"/>
    </xf>
    <xf numFmtId="0" fontId="40" fillId="8" borderId="0" xfId="0" applyFont="1" applyFill="1" applyAlignment="1">
      <alignment horizontal="center"/>
    </xf>
    <xf numFmtId="0" fontId="38" fillId="8" borderId="0" xfId="0" applyFont="1" applyFill="1" applyAlignment="1">
      <alignment horizontal="center"/>
    </xf>
    <xf numFmtId="0" fontId="0" fillId="0" borderId="58" xfId="0" applyBorder="1" applyAlignment="1">
      <alignment horizontal="center"/>
    </xf>
    <xf numFmtId="0" fontId="0" fillId="0" borderId="9" xfId="0" applyBorder="1" applyAlignment="1">
      <alignment horizontal="center"/>
    </xf>
    <xf numFmtId="0" fontId="39" fillId="0" borderId="26" xfId="0" applyFont="1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6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6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4" fillId="6" borderId="12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6" borderId="14" xfId="0" applyFont="1" applyFill="1" applyBorder="1" applyAlignment="1">
      <alignment horizontal="center" wrapText="1"/>
    </xf>
    <xf numFmtId="0" fontId="4" fillId="0" borderId="63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5" fillId="5" borderId="57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4" fillId="0" borderId="22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4" fillId="6" borderId="70" xfId="0" applyFont="1" applyFill="1" applyBorder="1" applyAlignment="1">
      <alignment horizontal="center" wrapText="1"/>
    </xf>
    <xf numFmtId="0" fontId="4" fillId="6" borderId="71" xfId="0" applyFont="1" applyFill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4" fillId="6" borderId="73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4" fillId="6" borderId="22" xfId="0" applyFont="1" applyFill="1" applyBorder="1" applyAlignment="1">
      <alignment horizontal="center" wrapText="1"/>
    </xf>
    <xf numFmtId="0" fontId="4" fillId="6" borderId="19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14" fillId="0" borderId="43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21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vertical="center" wrapText="1"/>
      <protection hidden="1"/>
    </xf>
    <xf numFmtId="0" fontId="21" fillId="11" borderId="18" xfId="0" applyFont="1" applyFill="1" applyBorder="1" applyAlignment="1" applyProtection="1">
      <alignment horizontal="center" vertical="center" wrapText="1"/>
      <protection hidden="1"/>
    </xf>
    <xf numFmtId="0" fontId="21" fillId="11" borderId="2" xfId="0" applyFont="1" applyFill="1" applyBorder="1" applyAlignment="1" applyProtection="1">
      <alignment horizontal="center" vertical="center" wrapText="1"/>
      <protection hidden="1"/>
    </xf>
    <xf numFmtId="0" fontId="21" fillId="11" borderId="72" xfId="0" applyFont="1" applyFill="1" applyBorder="1" applyAlignment="1" applyProtection="1">
      <alignment horizontal="center" vertical="center" wrapText="1"/>
      <protection hidden="1"/>
    </xf>
    <xf numFmtId="0" fontId="21" fillId="11" borderId="26" xfId="0" applyFont="1" applyFill="1" applyBorder="1" applyAlignment="1" applyProtection="1">
      <alignment horizontal="center" vertical="center" wrapText="1"/>
      <protection hidden="1"/>
    </xf>
    <xf numFmtId="0" fontId="21" fillId="11" borderId="27" xfId="0" applyFont="1" applyFill="1" applyBorder="1" applyAlignment="1" applyProtection="1">
      <alignment horizontal="center" vertical="center" wrapText="1"/>
      <protection hidden="1"/>
    </xf>
    <xf numFmtId="0" fontId="21" fillId="11" borderId="0" xfId="0" applyFont="1" applyFill="1" applyBorder="1" applyAlignment="1" applyProtection="1">
      <alignment horizontal="center" vertical="center" wrapText="1"/>
      <protection hidden="1"/>
    </xf>
    <xf numFmtId="0" fontId="21" fillId="11" borderId="20" xfId="0" applyFont="1" applyFill="1" applyBorder="1" applyAlignment="1" applyProtection="1">
      <alignment horizontal="center" vertical="center" wrapText="1"/>
      <protection hidden="1"/>
    </xf>
    <xf numFmtId="0" fontId="21" fillId="11" borderId="38" xfId="0" applyFont="1" applyFill="1" applyBorder="1" applyAlignment="1" applyProtection="1">
      <alignment horizontal="center" vertical="center" wrapText="1"/>
      <protection hidden="1"/>
    </xf>
    <xf numFmtId="0" fontId="21" fillId="11" borderId="25" xfId="0" applyFont="1" applyFill="1" applyBorder="1" applyAlignment="1" applyProtection="1">
      <alignment horizontal="center" vertical="center" wrapText="1"/>
      <protection hidden="1"/>
    </xf>
    <xf numFmtId="0" fontId="21" fillId="11" borderId="76" xfId="0" applyFont="1" applyFill="1" applyBorder="1" applyAlignment="1" applyProtection="1">
      <alignment horizontal="center" vertical="center" wrapText="1"/>
      <protection hidden="1"/>
    </xf>
    <xf numFmtId="0" fontId="21" fillId="11" borderId="58" xfId="0" applyFont="1" applyFill="1" applyBorder="1" applyAlignment="1" applyProtection="1">
      <alignment horizontal="center"/>
      <protection hidden="1"/>
    </xf>
    <xf numFmtId="0" fontId="21" fillId="11" borderId="35" xfId="0" applyFont="1" applyFill="1" applyBorder="1" applyAlignment="1" applyProtection="1">
      <alignment horizontal="center"/>
      <protection hidden="1"/>
    </xf>
    <xf numFmtId="0" fontId="21" fillId="11" borderId="9" xfId="0" applyFont="1" applyFill="1" applyBorder="1" applyAlignment="1" applyProtection="1">
      <alignment horizontal="center"/>
      <protection hidden="1"/>
    </xf>
    <xf numFmtId="0" fontId="21" fillId="11" borderId="43" xfId="0" applyFont="1" applyFill="1" applyBorder="1" applyAlignment="1" applyProtection="1">
      <alignment horizontal="center"/>
      <protection hidden="1"/>
    </xf>
    <xf numFmtId="0" fontId="21" fillId="11" borderId="16" xfId="0" applyFont="1" applyFill="1" applyBorder="1" applyAlignment="1" applyProtection="1">
      <alignment horizontal="center"/>
      <protection hidden="1"/>
    </xf>
    <xf numFmtId="0" fontId="21" fillId="11" borderId="10" xfId="0" applyFont="1" applyFill="1" applyBorder="1" applyAlignment="1" applyProtection="1">
      <alignment horizontal="center"/>
      <protection hidden="1"/>
    </xf>
    <xf numFmtId="0" fontId="21" fillId="11" borderId="48" xfId="0" applyFont="1" applyFill="1" applyBorder="1" applyAlignment="1" applyProtection="1">
      <alignment horizontal="center"/>
      <protection hidden="1"/>
    </xf>
    <xf numFmtId="0" fontId="21" fillId="11" borderId="59" xfId="0" applyFont="1" applyFill="1" applyBorder="1" applyAlignment="1" applyProtection="1">
      <alignment horizontal="center"/>
      <protection hidden="1"/>
    </xf>
    <xf numFmtId="0" fontId="21" fillId="11" borderId="11" xfId="0" applyFont="1" applyFill="1" applyBorder="1" applyAlignment="1" applyProtection="1">
      <alignment horizontal="center"/>
      <protection hidden="1"/>
    </xf>
    <xf numFmtId="0" fontId="21" fillId="11" borderId="77" xfId="0" applyFont="1" applyFill="1" applyBorder="1" applyAlignment="1" applyProtection="1">
      <alignment horizontal="center" vertical="center" wrapText="1"/>
      <protection hidden="1"/>
    </xf>
    <xf numFmtId="0" fontId="21" fillId="11" borderId="38" xfId="0" applyFont="1" applyFill="1" applyBorder="1" applyAlignment="1" applyProtection="1">
      <alignment horizontal="center" wrapText="1"/>
      <protection hidden="1"/>
    </xf>
    <xf numFmtId="0" fontId="21" fillId="11" borderId="76" xfId="0" applyFont="1" applyFill="1" applyBorder="1" applyAlignment="1" applyProtection="1">
      <alignment horizontal="center" wrapText="1"/>
      <protection hidden="1"/>
    </xf>
    <xf numFmtId="0" fontId="21" fillId="11" borderId="53" xfId="0" applyFont="1" applyFill="1" applyBorder="1" applyAlignment="1" applyProtection="1">
      <alignment horizontal="center" vertical="center" wrapText="1"/>
      <protection hidden="1"/>
    </xf>
    <xf numFmtId="0" fontId="21" fillId="11" borderId="24" xfId="0" applyFont="1" applyFill="1" applyBorder="1" applyAlignment="1" applyProtection="1">
      <alignment horizontal="center" vertical="center" wrapText="1"/>
      <protection hidden="1"/>
    </xf>
    <xf numFmtId="0" fontId="21" fillId="0" borderId="26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11" borderId="61" xfId="0" applyFont="1" applyFill="1" applyBorder="1" applyAlignment="1">
      <alignment horizontal="center" vertical="center" wrapText="1"/>
    </xf>
    <xf numFmtId="0" fontId="21" fillId="11" borderId="18" xfId="0" applyFont="1" applyFill="1" applyBorder="1" applyAlignment="1">
      <alignment horizontal="center" vertical="center" wrapText="1"/>
    </xf>
    <xf numFmtId="0" fontId="21" fillId="11" borderId="2" xfId="0" applyFont="1" applyFill="1" applyBorder="1" applyAlignment="1">
      <alignment horizontal="center" vertical="center" wrapText="1"/>
    </xf>
    <xf numFmtId="0" fontId="21" fillId="11" borderId="72" xfId="0" applyFont="1" applyFill="1" applyBorder="1" applyAlignment="1">
      <alignment horizontal="center" vertical="center" wrapText="1"/>
    </xf>
    <xf numFmtId="0" fontId="21" fillId="11" borderId="26" xfId="0" applyFont="1" applyFill="1" applyBorder="1" applyAlignment="1">
      <alignment horizontal="center" vertical="center" wrapText="1"/>
    </xf>
    <xf numFmtId="0" fontId="21" fillId="11" borderId="27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 applyProtection="1">
      <alignment horizontal="center" vertical="center" wrapText="1"/>
      <protection hidden="1"/>
    </xf>
    <xf numFmtId="0" fontId="21" fillId="11" borderId="21" xfId="0" applyFont="1" applyFill="1" applyBorder="1" applyAlignment="1" applyProtection="1">
      <alignment horizontal="center" vertical="center" wrapText="1"/>
      <protection hidden="1"/>
    </xf>
    <xf numFmtId="0" fontId="21" fillId="11" borderId="28" xfId="0" applyFont="1" applyFill="1" applyBorder="1" applyAlignment="1" applyProtection="1">
      <alignment horizontal="center" vertical="center" wrapText="1"/>
      <protection hidden="1"/>
    </xf>
    <xf numFmtId="0" fontId="21" fillId="11" borderId="29" xfId="0" applyFont="1" applyFill="1" applyBorder="1" applyAlignment="1" applyProtection="1">
      <alignment horizontal="center"/>
      <protection hidden="1"/>
    </xf>
    <xf numFmtId="0" fontId="21" fillId="11" borderId="33" xfId="0" applyFont="1" applyFill="1" applyBorder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38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wrapText="1"/>
      <protection hidden="1"/>
    </xf>
    <xf numFmtId="0" fontId="21" fillId="11" borderId="18" xfId="0" applyFont="1" applyFill="1" applyBorder="1" applyAlignment="1" applyProtection="1">
      <alignment horizontal="center" wrapText="1"/>
      <protection hidden="1"/>
    </xf>
    <xf numFmtId="0" fontId="21" fillId="11" borderId="2" xfId="0" applyFont="1" applyFill="1" applyBorder="1" applyAlignment="1" applyProtection="1">
      <alignment horizontal="center" wrapText="1"/>
      <protection hidden="1"/>
    </xf>
    <xf numFmtId="0" fontId="21" fillId="11" borderId="72" xfId="0" applyFont="1" applyFill="1" applyBorder="1" applyAlignment="1" applyProtection="1">
      <alignment horizontal="center" wrapText="1"/>
      <protection hidden="1"/>
    </xf>
    <xf numFmtId="0" fontId="21" fillId="11" borderId="26" xfId="0" applyFont="1" applyFill="1" applyBorder="1" applyAlignment="1" applyProtection="1">
      <alignment horizontal="center" wrapText="1"/>
      <protection hidden="1"/>
    </xf>
    <xf numFmtId="0" fontId="21" fillId="11" borderId="27" xfId="0" applyFont="1" applyFill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/>
      <protection hidden="1"/>
    </xf>
    <xf numFmtId="0" fontId="21" fillId="11" borderId="45" xfId="0" applyFont="1" applyFill="1" applyBorder="1" applyAlignment="1" applyProtection="1">
      <alignment horizontal="center"/>
      <protection hidden="1"/>
    </xf>
    <xf numFmtId="0" fontId="21" fillId="11" borderId="15" xfId="0" applyFont="1" applyFill="1" applyBorder="1" applyAlignment="1" applyProtection="1">
      <alignment horizontal="center"/>
      <protection hidden="1"/>
    </xf>
    <xf numFmtId="0" fontId="21" fillId="11" borderId="52" xfId="0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34" xfId="0" applyBorder="1" applyAlignment="1" applyProtection="1">
      <alignment horizontal="center"/>
      <protection hidden="1"/>
    </xf>
    <xf numFmtId="0" fontId="0" fillId="0" borderId="49" xfId="0" applyBorder="1" applyAlignment="1" applyProtection="1">
      <alignment horizontal="center"/>
      <protection hidden="1"/>
    </xf>
    <xf numFmtId="0" fontId="0" fillId="0" borderId="50" xfId="0" applyBorder="1" applyAlignment="1" applyProtection="1">
      <alignment horizontal="center"/>
      <protection hidden="1"/>
    </xf>
    <xf numFmtId="0" fontId="0" fillId="11" borderId="45" xfId="0" applyFont="1" applyFill="1" applyBorder="1" applyAlignment="1" applyProtection="1">
      <alignment horizontal="center"/>
      <protection hidden="1"/>
    </xf>
    <xf numFmtId="0" fontId="0" fillId="11" borderId="15" xfId="0" applyFont="1" applyFill="1" applyBorder="1" applyAlignment="1" applyProtection="1">
      <alignment horizontal="center"/>
      <protection hidden="1"/>
    </xf>
    <xf numFmtId="0" fontId="0" fillId="11" borderId="52" xfId="0" applyFont="1" applyFill="1" applyBorder="1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vertical="center"/>
      <protection hidden="1"/>
    </xf>
    <xf numFmtId="0" fontId="21" fillId="11" borderId="18" xfId="0" applyFont="1" applyFill="1" applyBorder="1" applyAlignment="1" applyProtection="1">
      <alignment horizontal="center" vertical="center"/>
      <protection hidden="1"/>
    </xf>
    <xf numFmtId="0" fontId="21" fillId="11" borderId="2" xfId="0" applyFont="1" applyFill="1" applyBorder="1" applyAlignment="1" applyProtection="1">
      <alignment horizontal="center" vertical="center"/>
      <protection hidden="1"/>
    </xf>
    <xf numFmtId="0" fontId="21" fillId="11" borderId="77" xfId="0" applyFont="1" applyFill="1" applyBorder="1" applyAlignment="1" applyProtection="1">
      <alignment horizontal="center" vertical="center"/>
      <protection hidden="1"/>
    </xf>
    <xf numFmtId="0" fontId="21" fillId="11" borderId="0" xfId="0" applyFont="1" applyFill="1" applyBorder="1" applyAlignment="1" applyProtection="1">
      <alignment horizontal="center" vertical="center"/>
      <protection hidden="1"/>
    </xf>
    <xf numFmtId="0" fontId="21" fillId="11" borderId="20" xfId="0" applyFont="1" applyFill="1" applyBorder="1" applyAlignment="1" applyProtection="1">
      <alignment horizontal="center" vertical="center"/>
      <protection hidden="1"/>
    </xf>
    <xf numFmtId="0" fontId="21" fillId="11" borderId="72" xfId="0" applyFont="1" applyFill="1" applyBorder="1" applyAlignment="1" applyProtection="1">
      <alignment horizontal="center" vertical="center"/>
      <protection hidden="1"/>
    </xf>
    <xf numFmtId="0" fontId="21" fillId="11" borderId="26" xfId="0" applyFont="1" applyFill="1" applyBorder="1" applyAlignment="1" applyProtection="1">
      <alignment horizontal="center" vertical="center"/>
      <protection hidden="1"/>
    </xf>
    <xf numFmtId="0" fontId="21" fillId="11" borderId="27" xfId="0" applyFont="1" applyFill="1" applyBorder="1" applyAlignment="1" applyProtection="1">
      <alignment horizontal="center" vertical="center"/>
      <protection hidden="1"/>
    </xf>
    <xf numFmtId="0" fontId="21" fillId="11" borderId="34" xfId="0" applyFont="1" applyFill="1" applyBorder="1" applyAlignment="1" applyProtection="1">
      <alignment horizontal="center" vertical="center" wrapText="1"/>
      <protection hidden="1"/>
    </xf>
    <xf numFmtId="0" fontId="21" fillId="11" borderId="49" xfId="0" applyFont="1" applyFill="1" applyBorder="1" applyAlignment="1" applyProtection="1">
      <alignment horizontal="center" vertical="center" wrapText="1"/>
      <protection hidden="1"/>
    </xf>
    <xf numFmtId="0" fontId="21" fillId="11" borderId="5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wrapText="1"/>
      <protection hidden="1"/>
    </xf>
    <xf numFmtId="0" fontId="21" fillId="0" borderId="34" xfId="0" applyFont="1" applyBorder="1" applyAlignment="1" applyProtection="1">
      <alignment horizontal="center"/>
      <protection hidden="1"/>
    </xf>
    <xf numFmtId="0" fontId="21" fillId="0" borderId="5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43" fillId="0" borderId="43" xfId="0" applyNumberFormat="1" applyFont="1" applyFill="1" applyBorder="1" applyAlignment="1">
      <alignment horizontal="center" vertical="center"/>
    </xf>
    <xf numFmtId="0" fontId="43" fillId="0" borderId="16" xfId="0" applyNumberFormat="1" applyFont="1" applyFill="1" applyBorder="1" applyAlignment="1">
      <alignment horizontal="center" vertical="center"/>
    </xf>
    <xf numFmtId="0" fontId="43" fillId="0" borderId="54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1" fillId="11" borderId="22" xfId="0" applyFont="1" applyFill="1" applyBorder="1" applyAlignment="1">
      <alignment horizontal="center" vertical="center" wrapText="1"/>
    </xf>
    <xf numFmtId="0" fontId="21" fillId="11" borderId="19" xfId="0" applyFont="1" applyFill="1" applyBorder="1" applyAlignment="1">
      <alignment horizontal="center" vertical="center" wrapText="1"/>
    </xf>
    <xf numFmtId="0" fontId="21" fillId="11" borderId="6" xfId="0" applyFont="1" applyFill="1" applyBorder="1" applyAlignment="1">
      <alignment horizontal="center" vertical="center" wrapText="1"/>
    </xf>
    <xf numFmtId="0" fontId="21" fillId="11" borderId="4" xfId="0" applyFont="1" applyFill="1" applyBorder="1" applyAlignment="1">
      <alignment horizontal="center" vertical="center" wrapText="1"/>
    </xf>
    <xf numFmtId="0" fontId="21" fillId="11" borderId="22" xfId="0" applyFont="1" applyFill="1" applyBorder="1" applyAlignment="1" applyProtection="1">
      <alignment horizontal="center" vertical="center" wrapText="1"/>
      <protection hidden="1"/>
    </xf>
    <xf numFmtId="0" fontId="21" fillId="11" borderId="19" xfId="0" applyFont="1" applyFill="1" applyBorder="1" applyAlignment="1" applyProtection="1">
      <alignment horizontal="center" vertical="center" wrapText="1"/>
      <protection hidden="1"/>
    </xf>
    <xf numFmtId="0" fontId="21" fillId="11" borderId="6" xfId="0" applyFont="1" applyFill="1" applyBorder="1" applyAlignment="1" applyProtection="1">
      <alignment horizontal="center" vertical="center" wrapText="1"/>
      <protection hidden="1"/>
    </xf>
    <xf numFmtId="0" fontId="21" fillId="11" borderId="4" xfId="0" applyFont="1" applyFill="1" applyBorder="1" applyAlignment="1" applyProtection="1">
      <alignment horizontal="center" vertical="center" wrapText="1"/>
      <protection hidden="1"/>
    </xf>
    <xf numFmtId="0" fontId="21" fillId="11" borderId="19" xfId="0" applyFont="1" applyFill="1" applyBorder="1" applyAlignment="1" applyProtection="1">
      <alignment horizontal="center" wrapText="1"/>
      <protection hidden="1"/>
    </xf>
    <xf numFmtId="0" fontId="21" fillId="11" borderId="4" xfId="0" applyFont="1" applyFill="1" applyBorder="1" applyAlignment="1" applyProtection="1">
      <alignment horizontal="center" wrapText="1"/>
      <protection hidden="1"/>
    </xf>
    <xf numFmtId="0" fontId="0" fillId="0" borderId="58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1" fillId="11" borderId="12" xfId="0" applyFont="1" applyFill="1" applyBorder="1" applyAlignment="1" applyProtection="1">
      <alignment horizontal="center" wrapText="1"/>
      <protection hidden="1"/>
    </xf>
    <xf numFmtId="0" fontId="21" fillId="11" borderId="14" xfId="0" applyFont="1" applyFill="1" applyBorder="1" applyAlignment="1" applyProtection="1">
      <alignment horizontal="center" wrapText="1"/>
      <protection hidden="1"/>
    </xf>
    <xf numFmtId="0" fontId="21" fillId="11" borderId="77" xfId="0" applyFont="1" applyFill="1" applyBorder="1" applyAlignment="1">
      <alignment horizontal="center" vertical="center" wrapText="1"/>
    </xf>
    <xf numFmtId="0" fontId="21" fillId="11" borderId="0" xfId="0" applyFont="1" applyFill="1" applyBorder="1" applyAlignment="1">
      <alignment horizontal="center" vertical="center" wrapText="1"/>
    </xf>
    <xf numFmtId="0" fontId="21" fillId="11" borderId="20" xfId="0" applyFont="1" applyFill="1" applyBorder="1" applyAlignment="1">
      <alignment horizontal="center" vertical="center" wrapText="1"/>
    </xf>
    <xf numFmtId="0" fontId="21" fillId="11" borderId="45" xfId="0" applyFont="1" applyFill="1" applyBorder="1" applyAlignment="1" applyProtection="1">
      <alignment horizontal="center" vertical="center"/>
    </xf>
    <xf numFmtId="0" fontId="21" fillId="11" borderId="15" xfId="0" applyFont="1" applyFill="1" applyBorder="1" applyAlignment="1" applyProtection="1">
      <alignment horizontal="center" vertical="center"/>
    </xf>
    <xf numFmtId="0" fontId="21" fillId="11" borderId="52" xfId="0" applyFont="1" applyFill="1" applyBorder="1" applyAlignment="1" applyProtection="1">
      <alignment horizontal="center" vertical="center"/>
    </xf>
    <xf numFmtId="0" fontId="21" fillId="11" borderId="38" xfId="0" applyFont="1" applyFill="1" applyBorder="1" applyAlignment="1">
      <alignment horizontal="center" vertical="center" wrapText="1"/>
    </xf>
    <xf numFmtId="0" fontId="21" fillId="11" borderId="25" xfId="0" applyFont="1" applyFill="1" applyBorder="1" applyAlignment="1">
      <alignment horizontal="center" vertical="center" wrapText="1"/>
    </xf>
    <xf numFmtId="0" fontId="21" fillId="11" borderId="76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65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  <mruColors>
      <color rgb="FFCCFFCC"/>
      <color rgb="FFFFCCCC"/>
      <color rgb="FF4DB393"/>
      <color rgb="FFD9EFD1"/>
      <color rgb="FFC9E8BE"/>
      <color rgb="FFB0E2B5"/>
      <color rgb="FFAAE8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4281</xdr:colOff>
      <xdr:row>0</xdr:row>
      <xdr:rowOff>136023</xdr:rowOff>
    </xdr:from>
    <xdr:ext cx="12425843" cy="405432"/>
    <xdr:sp macro="" textlink="">
      <xdr:nvSpPr>
        <xdr:cNvPr id="2" name="Прямоугольник 1"/>
        <xdr:cNvSpPr/>
      </xdr:nvSpPr>
      <xdr:spPr>
        <a:xfrm>
          <a:off x="537681" y="136023"/>
          <a:ext cx="12425843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13807</xdr:colOff>
      <xdr:row>0</xdr:row>
      <xdr:rowOff>107448</xdr:rowOff>
    </xdr:from>
    <xdr:to>
      <xdr:col>1</xdr:col>
      <xdr:colOff>1142860</xdr:colOff>
      <xdr:row>0</xdr:row>
      <xdr:rowOff>611248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207" y="107448"/>
          <a:ext cx="1129053" cy="503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8901</xdr:colOff>
      <xdr:row>0</xdr:row>
      <xdr:rowOff>107448</xdr:rowOff>
    </xdr:from>
    <xdr:ext cx="10363824" cy="409407"/>
    <xdr:sp macro="" textlink="">
      <xdr:nvSpPr>
        <xdr:cNvPr id="2" name="Прямоугольник 1"/>
        <xdr:cNvSpPr/>
      </xdr:nvSpPr>
      <xdr:spPr>
        <a:xfrm>
          <a:off x="542301" y="107448"/>
          <a:ext cx="10363824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М</a:t>
          </a:r>
        </a:p>
      </xdr:txBody>
    </xdr:sp>
    <xdr:clientData/>
  </xdr:oneCellAnchor>
  <xdr:twoCellAnchor editAs="oneCell">
    <xdr:from>
      <xdr:col>1</xdr:col>
      <xdr:colOff>8901</xdr:colOff>
      <xdr:row>0</xdr:row>
      <xdr:rowOff>78873</xdr:rowOff>
    </xdr:from>
    <xdr:to>
      <xdr:col>1</xdr:col>
      <xdr:colOff>1145367</xdr:colOff>
      <xdr:row>0</xdr:row>
      <xdr:rowOff>582673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301" y="78873"/>
          <a:ext cx="1136466" cy="503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12845</xdr:colOff>
      <xdr:row>0</xdr:row>
      <xdr:rowOff>159835</xdr:rowOff>
    </xdr:from>
    <xdr:ext cx="10864705" cy="409407"/>
    <xdr:sp macro="" textlink="">
      <xdr:nvSpPr>
        <xdr:cNvPr id="2" name="Прямоугольник 1"/>
        <xdr:cNvSpPr/>
      </xdr:nvSpPr>
      <xdr:spPr>
        <a:xfrm>
          <a:off x="546245" y="159835"/>
          <a:ext cx="1086470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Классика Моно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41420</xdr:colOff>
      <xdr:row>0</xdr:row>
      <xdr:rowOff>140785</xdr:rowOff>
    </xdr:from>
    <xdr:to>
      <xdr:col>1</xdr:col>
      <xdr:colOff>1177886</xdr:colOff>
      <xdr:row>0</xdr:row>
      <xdr:rowOff>644585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820" y="140785"/>
          <a:ext cx="1136466" cy="5038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5449</xdr:colOff>
      <xdr:row>0</xdr:row>
      <xdr:rowOff>121735</xdr:rowOff>
    </xdr:from>
    <xdr:ext cx="10681601" cy="409407"/>
    <xdr:sp macro="" textlink="">
      <xdr:nvSpPr>
        <xdr:cNvPr id="2" name="Прямоугольник 1"/>
        <xdr:cNvSpPr/>
      </xdr:nvSpPr>
      <xdr:spPr>
        <a:xfrm>
          <a:off x="538849" y="121735"/>
          <a:ext cx="10681601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14974</xdr:colOff>
      <xdr:row>0</xdr:row>
      <xdr:rowOff>93160</xdr:rowOff>
    </xdr:from>
    <xdr:to>
      <xdr:col>1</xdr:col>
      <xdr:colOff>1151440</xdr:colOff>
      <xdr:row>0</xdr:row>
      <xdr:rowOff>596960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374" y="93160"/>
          <a:ext cx="1136466" cy="5038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301612</xdr:colOff>
      <xdr:row>0</xdr:row>
      <xdr:rowOff>140785</xdr:rowOff>
    </xdr:from>
    <xdr:ext cx="10366388" cy="405432"/>
    <xdr:sp macro="" textlink="">
      <xdr:nvSpPr>
        <xdr:cNvPr id="2" name="Прямоугольник 1"/>
        <xdr:cNvSpPr/>
      </xdr:nvSpPr>
      <xdr:spPr>
        <a:xfrm>
          <a:off x="301612" y="140785"/>
          <a:ext cx="10366388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 Моно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0</xdr:col>
      <xdr:colOff>301612</xdr:colOff>
      <xdr:row>0</xdr:row>
      <xdr:rowOff>121735</xdr:rowOff>
    </xdr:from>
    <xdr:to>
      <xdr:col>1</xdr:col>
      <xdr:colOff>1133278</xdr:colOff>
      <xdr:row>0</xdr:row>
      <xdr:rowOff>625535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612" y="121735"/>
          <a:ext cx="1136466" cy="5038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10654</xdr:colOff>
      <xdr:row>0</xdr:row>
      <xdr:rowOff>207460</xdr:rowOff>
    </xdr:from>
    <xdr:ext cx="10381121" cy="405432"/>
    <xdr:sp macro="" textlink="">
      <xdr:nvSpPr>
        <xdr:cNvPr id="2" name="Прямоугольник 1"/>
        <xdr:cNvSpPr/>
      </xdr:nvSpPr>
      <xdr:spPr>
        <a:xfrm>
          <a:off x="544054" y="207460"/>
          <a:ext cx="10381121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Кассета Моно Зебра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1</xdr:col>
      <xdr:colOff>20179</xdr:colOff>
      <xdr:row>0</xdr:row>
      <xdr:rowOff>178885</xdr:rowOff>
    </xdr:from>
    <xdr:to>
      <xdr:col>1</xdr:col>
      <xdr:colOff>1156645</xdr:colOff>
      <xdr:row>0</xdr:row>
      <xdr:rowOff>682685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3579" y="178885"/>
          <a:ext cx="1136466" cy="5038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5072</xdr:colOff>
      <xdr:row>0</xdr:row>
      <xdr:rowOff>126498</xdr:rowOff>
    </xdr:from>
    <xdr:ext cx="11472553" cy="405432"/>
    <xdr:sp macro="" textlink="">
      <xdr:nvSpPr>
        <xdr:cNvPr id="2" name="Прямоугольник 1"/>
        <xdr:cNvSpPr/>
      </xdr:nvSpPr>
      <xdr:spPr>
        <a:xfrm>
          <a:off x="290822" y="126498"/>
          <a:ext cx="11472553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Моно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14597</xdr:colOff>
      <xdr:row>0</xdr:row>
      <xdr:rowOff>107448</xdr:rowOff>
    </xdr:from>
    <xdr:to>
      <xdr:col>1</xdr:col>
      <xdr:colOff>1151063</xdr:colOff>
      <xdr:row>0</xdr:row>
      <xdr:rowOff>611248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347" y="107448"/>
          <a:ext cx="1136466" cy="5038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8920</xdr:colOff>
      <xdr:row>0</xdr:row>
      <xdr:rowOff>159835</xdr:rowOff>
    </xdr:from>
    <xdr:ext cx="10992455" cy="405432"/>
    <xdr:sp macro="" textlink="">
      <xdr:nvSpPr>
        <xdr:cNvPr id="2" name="Прямоугольник 1"/>
        <xdr:cNvSpPr/>
      </xdr:nvSpPr>
      <xdr:spPr>
        <a:xfrm>
          <a:off x="332770" y="159835"/>
          <a:ext cx="10992455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Double 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8920</xdr:colOff>
      <xdr:row>0</xdr:row>
      <xdr:rowOff>131260</xdr:rowOff>
    </xdr:from>
    <xdr:to>
      <xdr:col>1</xdr:col>
      <xdr:colOff>1145386</xdr:colOff>
      <xdr:row>0</xdr:row>
      <xdr:rowOff>635060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770" y="131260"/>
          <a:ext cx="1136466" cy="5038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5167</xdr:colOff>
      <xdr:row>0</xdr:row>
      <xdr:rowOff>131260</xdr:rowOff>
    </xdr:from>
    <xdr:ext cx="11224807" cy="409407"/>
    <xdr:sp macro="" textlink="">
      <xdr:nvSpPr>
        <xdr:cNvPr id="2" name="Прямоугольник 1"/>
        <xdr:cNvSpPr/>
      </xdr:nvSpPr>
      <xdr:spPr>
        <a:xfrm>
          <a:off x="290917" y="131260"/>
          <a:ext cx="11224807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Double 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14692</xdr:colOff>
      <xdr:row>0</xdr:row>
      <xdr:rowOff>102685</xdr:rowOff>
    </xdr:from>
    <xdr:to>
      <xdr:col>1</xdr:col>
      <xdr:colOff>1151158</xdr:colOff>
      <xdr:row>0</xdr:row>
      <xdr:rowOff>606485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42" y="102685"/>
          <a:ext cx="1136466" cy="5038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104775</xdr:rowOff>
    </xdr:from>
    <xdr:ext cx="10420350" cy="409407"/>
    <xdr:sp macro="" textlink="">
      <xdr:nvSpPr>
        <xdr:cNvPr id="3" name="Прямоугольник 2"/>
        <xdr:cNvSpPr/>
      </xdr:nvSpPr>
      <xdr:spPr>
        <a:xfrm>
          <a:off x="552450" y="104775"/>
          <a:ext cx="10420350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Double  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9525</xdr:colOff>
      <xdr:row>0</xdr:row>
      <xdr:rowOff>76200</xdr:rowOff>
    </xdr:from>
    <xdr:to>
      <xdr:col>1</xdr:col>
      <xdr:colOff>1145991</xdr:colOff>
      <xdr:row>0</xdr:row>
      <xdr:rowOff>580000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76200"/>
          <a:ext cx="1136466" cy="5038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1</xdr:row>
      <xdr:rowOff>2673</xdr:rowOff>
    </xdr:from>
    <xdr:ext cx="6762750" cy="409407"/>
    <xdr:sp macro="" textlink="">
      <xdr:nvSpPr>
        <xdr:cNvPr id="2" name="Прямоугольник 1"/>
        <xdr:cNvSpPr/>
      </xdr:nvSpPr>
      <xdr:spPr>
        <a:xfrm>
          <a:off x="542926" y="145548"/>
          <a:ext cx="6762750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219076</xdr:colOff>
      <xdr:row>0</xdr:row>
      <xdr:rowOff>97127</xdr:rowOff>
    </xdr:from>
    <xdr:to>
      <xdr:col>1</xdr:col>
      <xdr:colOff>1085850</xdr:colOff>
      <xdr:row>3</xdr:row>
      <xdr:rowOff>28575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6" y="97127"/>
          <a:ext cx="866774" cy="5600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4282</xdr:colOff>
      <xdr:row>0</xdr:row>
      <xdr:rowOff>136023</xdr:rowOff>
    </xdr:from>
    <xdr:ext cx="11244744" cy="405432"/>
    <xdr:sp macro="" textlink="">
      <xdr:nvSpPr>
        <xdr:cNvPr id="4" name="Прямоугольник 3"/>
        <xdr:cNvSpPr/>
      </xdr:nvSpPr>
      <xdr:spPr>
        <a:xfrm>
          <a:off x="613882" y="136023"/>
          <a:ext cx="11244744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13807</xdr:colOff>
      <xdr:row>0</xdr:row>
      <xdr:rowOff>107448</xdr:rowOff>
    </xdr:from>
    <xdr:to>
      <xdr:col>1</xdr:col>
      <xdr:colOff>1142860</xdr:colOff>
      <xdr:row>0</xdr:row>
      <xdr:rowOff>611248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207" y="107448"/>
          <a:ext cx="1129053" cy="5038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2673</xdr:rowOff>
    </xdr:from>
    <xdr:ext cx="7048500" cy="409407"/>
    <xdr:sp macro="" textlink="">
      <xdr:nvSpPr>
        <xdr:cNvPr id="4" name="Прямоугольник 3"/>
        <xdr:cNvSpPr/>
      </xdr:nvSpPr>
      <xdr:spPr>
        <a:xfrm>
          <a:off x="542925" y="145548"/>
          <a:ext cx="7048500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кассета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219077</xdr:colOff>
      <xdr:row>0</xdr:row>
      <xdr:rowOff>97127</xdr:rowOff>
    </xdr:from>
    <xdr:to>
      <xdr:col>1</xdr:col>
      <xdr:colOff>952501</xdr:colOff>
      <xdr:row>3</xdr:row>
      <xdr:rowOff>19050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7" y="97127"/>
          <a:ext cx="733424" cy="55057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2673</xdr:rowOff>
    </xdr:from>
    <xdr:ext cx="6838950" cy="409407"/>
    <xdr:sp macro="" textlink="">
      <xdr:nvSpPr>
        <xdr:cNvPr id="4" name="Прямоугольник 3"/>
        <xdr:cNvSpPr/>
      </xdr:nvSpPr>
      <xdr:spPr>
        <a:xfrm>
          <a:off x="542925" y="145548"/>
          <a:ext cx="6838950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кассета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Double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114302</xdr:colOff>
      <xdr:row>0</xdr:row>
      <xdr:rowOff>116177</xdr:rowOff>
    </xdr:from>
    <xdr:to>
      <xdr:col>1</xdr:col>
      <xdr:colOff>857250</xdr:colOff>
      <xdr:row>4</xdr:row>
      <xdr:rowOff>62022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2" y="116177"/>
          <a:ext cx="742948" cy="71737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9524</xdr:colOff>
      <xdr:row>1</xdr:row>
      <xdr:rowOff>2673</xdr:rowOff>
    </xdr:from>
    <xdr:ext cx="6858001" cy="409407"/>
    <xdr:sp macro="" textlink="">
      <xdr:nvSpPr>
        <xdr:cNvPr id="4" name="Прямоугольник 3"/>
        <xdr:cNvSpPr/>
      </xdr:nvSpPr>
      <xdr:spPr>
        <a:xfrm>
          <a:off x="542924" y="145548"/>
          <a:ext cx="6858001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Mono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161927</xdr:colOff>
      <xdr:row>0</xdr:row>
      <xdr:rowOff>116179</xdr:rowOff>
    </xdr:from>
    <xdr:to>
      <xdr:col>1</xdr:col>
      <xdr:colOff>762000</xdr:colOff>
      <xdr:row>2</xdr:row>
      <xdr:rowOff>314135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7" y="116179"/>
          <a:ext cx="600073" cy="48370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2673</xdr:rowOff>
    </xdr:from>
    <xdr:ext cx="6677025" cy="409407"/>
    <xdr:sp macro="" textlink="">
      <xdr:nvSpPr>
        <xdr:cNvPr id="2" name="Прямоугольник 1"/>
        <xdr:cNvSpPr/>
      </xdr:nvSpPr>
      <xdr:spPr>
        <a:xfrm>
          <a:off x="542925" y="145548"/>
          <a:ext cx="6677025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180977</xdr:colOff>
      <xdr:row>0</xdr:row>
      <xdr:rowOff>97127</xdr:rowOff>
    </xdr:from>
    <xdr:to>
      <xdr:col>1</xdr:col>
      <xdr:colOff>895350</xdr:colOff>
      <xdr:row>3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7" y="97127"/>
          <a:ext cx="714373" cy="54104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2673</xdr:rowOff>
    </xdr:from>
    <xdr:ext cx="6743700" cy="409407"/>
    <xdr:sp macro="" textlink="">
      <xdr:nvSpPr>
        <xdr:cNvPr id="2" name="Прямоугольник 1"/>
        <xdr:cNvSpPr/>
      </xdr:nvSpPr>
      <xdr:spPr>
        <a:xfrm>
          <a:off x="542925" y="145548"/>
          <a:ext cx="6743700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Double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114302</xdr:colOff>
      <xdr:row>0</xdr:row>
      <xdr:rowOff>116178</xdr:rowOff>
    </xdr:from>
    <xdr:to>
      <xdr:col>1</xdr:col>
      <xdr:colOff>857250</xdr:colOff>
      <xdr:row>3</xdr:row>
      <xdr:rowOff>28576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2" y="116178"/>
          <a:ext cx="742948" cy="54104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9524</xdr:colOff>
      <xdr:row>1</xdr:row>
      <xdr:rowOff>2673</xdr:rowOff>
    </xdr:from>
    <xdr:ext cx="6772275" cy="409407"/>
    <xdr:sp macro="" textlink="">
      <xdr:nvSpPr>
        <xdr:cNvPr id="2" name="Прямоугольник 1"/>
        <xdr:cNvSpPr/>
      </xdr:nvSpPr>
      <xdr:spPr>
        <a:xfrm>
          <a:off x="542924" y="145548"/>
          <a:ext cx="6772275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Mono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123827</xdr:colOff>
      <xdr:row>0</xdr:row>
      <xdr:rowOff>135230</xdr:rowOff>
    </xdr:from>
    <xdr:to>
      <xdr:col>1</xdr:col>
      <xdr:colOff>771403</xdr:colOff>
      <xdr:row>2</xdr:row>
      <xdr:rowOff>314326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2" y="135230"/>
          <a:ext cx="647576" cy="46484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2673</xdr:rowOff>
    </xdr:from>
    <xdr:ext cx="6848475" cy="409407"/>
    <xdr:sp macro="" textlink="">
      <xdr:nvSpPr>
        <xdr:cNvPr id="4" name="Прямоугольник 3"/>
        <xdr:cNvSpPr/>
      </xdr:nvSpPr>
      <xdr:spPr>
        <a:xfrm>
          <a:off x="542925" y="145548"/>
          <a:ext cx="6848475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Классика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47626</xdr:colOff>
      <xdr:row>0</xdr:row>
      <xdr:rowOff>114300</xdr:rowOff>
    </xdr:from>
    <xdr:to>
      <xdr:col>1</xdr:col>
      <xdr:colOff>872369</xdr:colOff>
      <xdr:row>3</xdr:row>
      <xdr:rowOff>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6" y="114300"/>
          <a:ext cx="824743" cy="514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9332</xdr:colOff>
      <xdr:row>0</xdr:row>
      <xdr:rowOff>115265</xdr:rowOff>
    </xdr:from>
    <xdr:ext cx="11276895" cy="409407"/>
    <xdr:sp macro="" textlink="">
      <xdr:nvSpPr>
        <xdr:cNvPr id="2" name="Прямоугольник 1"/>
        <xdr:cNvSpPr/>
      </xdr:nvSpPr>
      <xdr:spPr>
        <a:xfrm>
          <a:off x="539497" y="115265"/>
          <a:ext cx="1127689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9332</xdr:colOff>
      <xdr:row>0</xdr:row>
      <xdr:rowOff>97293</xdr:rowOff>
    </xdr:from>
    <xdr:to>
      <xdr:col>1</xdr:col>
      <xdr:colOff>1138385</xdr:colOff>
      <xdr:row>0</xdr:row>
      <xdr:rowOff>601093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497" y="97293"/>
          <a:ext cx="1129053" cy="503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525581</xdr:colOff>
      <xdr:row>0</xdr:row>
      <xdr:rowOff>112210</xdr:rowOff>
    </xdr:from>
    <xdr:ext cx="11618794" cy="409407"/>
    <xdr:sp macro="" textlink="">
      <xdr:nvSpPr>
        <xdr:cNvPr id="2" name="Прямоугольник 1"/>
        <xdr:cNvSpPr/>
      </xdr:nvSpPr>
      <xdr:spPr>
        <a:xfrm>
          <a:off x="525581" y="112210"/>
          <a:ext cx="11618794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11232</xdr:colOff>
      <xdr:row>0</xdr:row>
      <xdr:rowOff>93160</xdr:rowOff>
    </xdr:from>
    <xdr:to>
      <xdr:col>1</xdr:col>
      <xdr:colOff>1140285</xdr:colOff>
      <xdr:row>0</xdr:row>
      <xdr:rowOff>596960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632" y="93160"/>
          <a:ext cx="1129053" cy="503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523875</xdr:colOff>
      <xdr:row>0</xdr:row>
      <xdr:rowOff>121735</xdr:rowOff>
    </xdr:from>
    <xdr:ext cx="12068175" cy="409407"/>
    <xdr:sp macro="" textlink="">
      <xdr:nvSpPr>
        <xdr:cNvPr id="2" name="Прямоугольник 1"/>
        <xdr:cNvSpPr/>
      </xdr:nvSpPr>
      <xdr:spPr>
        <a:xfrm>
          <a:off x="523875" y="121735"/>
          <a:ext cx="1206817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8841</xdr:colOff>
      <xdr:row>0</xdr:row>
      <xdr:rowOff>74110</xdr:rowOff>
    </xdr:from>
    <xdr:to>
      <xdr:col>1</xdr:col>
      <xdr:colOff>1137894</xdr:colOff>
      <xdr:row>0</xdr:row>
      <xdr:rowOff>577910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241" y="74110"/>
          <a:ext cx="1129053" cy="503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12378</xdr:colOff>
      <xdr:row>0</xdr:row>
      <xdr:rowOff>140785</xdr:rowOff>
    </xdr:from>
    <xdr:ext cx="11455721" cy="415370"/>
    <xdr:sp macro="" textlink="">
      <xdr:nvSpPr>
        <xdr:cNvPr id="2" name="Прямоугольник 1"/>
        <xdr:cNvSpPr/>
      </xdr:nvSpPr>
      <xdr:spPr>
        <a:xfrm>
          <a:off x="545778" y="140785"/>
          <a:ext cx="11455721" cy="415370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21904</xdr:colOff>
      <xdr:row>0</xdr:row>
      <xdr:rowOff>121735</xdr:rowOff>
    </xdr:from>
    <xdr:to>
      <xdr:col>1</xdr:col>
      <xdr:colOff>1150957</xdr:colOff>
      <xdr:row>0</xdr:row>
      <xdr:rowOff>625535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304" y="121735"/>
          <a:ext cx="1129053" cy="503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519198</xdr:colOff>
      <xdr:row>0</xdr:row>
      <xdr:rowOff>121735</xdr:rowOff>
    </xdr:from>
    <xdr:ext cx="11196552" cy="409407"/>
    <xdr:sp macro="" textlink="">
      <xdr:nvSpPr>
        <xdr:cNvPr id="2" name="Прямоугольник 1"/>
        <xdr:cNvSpPr/>
      </xdr:nvSpPr>
      <xdr:spPr>
        <a:xfrm>
          <a:off x="519198" y="121735"/>
          <a:ext cx="11196552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0</xdr:col>
      <xdr:colOff>500148</xdr:colOff>
      <xdr:row>0</xdr:row>
      <xdr:rowOff>93160</xdr:rowOff>
    </xdr:from>
    <xdr:to>
      <xdr:col>1</xdr:col>
      <xdr:colOff>1095801</xdr:colOff>
      <xdr:row>0</xdr:row>
      <xdr:rowOff>596960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148" y="93160"/>
          <a:ext cx="1129053" cy="503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523874</xdr:colOff>
      <xdr:row>0</xdr:row>
      <xdr:rowOff>88398</xdr:rowOff>
    </xdr:from>
    <xdr:ext cx="11020425" cy="409407"/>
    <xdr:sp macro="" textlink="">
      <xdr:nvSpPr>
        <xdr:cNvPr id="2" name="Прямоугольник 1"/>
        <xdr:cNvSpPr/>
      </xdr:nvSpPr>
      <xdr:spPr>
        <a:xfrm>
          <a:off x="523874" y="88398"/>
          <a:ext cx="1102042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59823</xdr:rowOff>
    </xdr:from>
    <xdr:to>
      <xdr:col>1</xdr:col>
      <xdr:colOff>1136466</xdr:colOff>
      <xdr:row>0</xdr:row>
      <xdr:rowOff>563623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59823"/>
          <a:ext cx="1136466" cy="503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23392</xdr:colOff>
      <xdr:row>0</xdr:row>
      <xdr:rowOff>102685</xdr:rowOff>
    </xdr:from>
    <xdr:ext cx="10339808" cy="405432"/>
    <xdr:sp macro="" textlink="">
      <xdr:nvSpPr>
        <xdr:cNvPr id="2" name="Прямоугольник 1"/>
        <xdr:cNvSpPr/>
      </xdr:nvSpPr>
      <xdr:spPr>
        <a:xfrm>
          <a:off x="556792" y="102685"/>
          <a:ext cx="10339808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1</xdr:col>
      <xdr:colOff>32917</xdr:colOff>
      <xdr:row>0</xdr:row>
      <xdr:rowOff>83635</xdr:rowOff>
    </xdr:from>
    <xdr:to>
      <xdr:col>1</xdr:col>
      <xdr:colOff>1169383</xdr:colOff>
      <xdr:row>0</xdr:row>
      <xdr:rowOff>587435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317" y="83635"/>
          <a:ext cx="1136466" cy="50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7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C19" sqref="C19"/>
    </sheetView>
  </sheetViews>
  <sheetFormatPr defaultRowHeight="11.25"/>
  <cols>
    <col min="1" max="1" width="49.6640625" customWidth="1"/>
    <col min="2" max="2" width="18.33203125" customWidth="1"/>
    <col min="3" max="3" width="14.83203125" customWidth="1"/>
    <col min="4" max="4" width="22.6640625" customWidth="1"/>
  </cols>
  <sheetData>
    <row r="1" spans="1:4" ht="12" thickBot="1"/>
    <row r="2" spans="1:4" ht="27" thickBot="1">
      <c r="A2" s="1053" t="s">
        <v>729</v>
      </c>
      <c r="B2" s="1054"/>
      <c r="C2" s="1054"/>
      <c r="D2" s="1054"/>
    </row>
    <row r="3" spans="1:4">
      <c r="A3" s="798" t="s">
        <v>6</v>
      </c>
      <c r="B3" s="786">
        <v>0</v>
      </c>
      <c r="C3" s="1055" t="s">
        <v>30</v>
      </c>
      <c r="D3" s="1056"/>
    </row>
    <row r="4" spans="1:4">
      <c r="A4" s="811" t="s">
        <v>1</v>
      </c>
      <c r="B4" s="43">
        <v>0</v>
      </c>
      <c r="C4" s="1048" t="s">
        <v>30</v>
      </c>
      <c r="D4" s="1049"/>
    </row>
    <row r="5" spans="1:4">
      <c r="A5" s="811" t="s">
        <v>730</v>
      </c>
      <c r="B5" s="44">
        <v>0</v>
      </c>
      <c r="C5" s="1048" t="s">
        <v>30</v>
      </c>
      <c r="D5" s="1049"/>
    </row>
    <row r="6" spans="1:4">
      <c r="A6" s="811" t="s">
        <v>731</v>
      </c>
      <c r="B6" s="44">
        <v>0</v>
      </c>
      <c r="C6" s="1050" t="s">
        <v>732</v>
      </c>
      <c r="D6" s="1051"/>
    </row>
    <row r="7" spans="1:4">
      <c r="A7" s="811" t="s">
        <v>733</v>
      </c>
      <c r="B7" s="44">
        <v>0</v>
      </c>
      <c r="C7" s="1046" t="s">
        <v>734</v>
      </c>
      <c r="D7" s="1047"/>
    </row>
    <row r="8" spans="1:4">
      <c r="A8" s="811" t="s">
        <v>735</v>
      </c>
      <c r="B8" s="43">
        <v>0</v>
      </c>
      <c r="C8" s="1048" t="s">
        <v>30</v>
      </c>
      <c r="D8" s="1049"/>
    </row>
    <row r="9" spans="1:4">
      <c r="A9" s="811" t="s">
        <v>772</v>
      </c>
      <c r="B9" s="308">
        <v>0</v>
      </c>
      <c r="C9" s="779" t="s">
        <v>774</v>
      </c>
      <c r="D9" s="780" t="s">
        <v>773</v>
      </c>
    </row>
    <row r="10" spans="1:4" ht="12" customHeight="1">
      <c r="A10" s="811" t="s">
        <v>736</v>
      </c>
      <c r="B10" s="44">
        <v>0</v>
      </c>
      <c r="C10" s="1050" t="s">
        <v>737</v>
      </c>
      <c r="D10" s="1051"/>
    </row>
    <row r="11" spans="1:4" ht="33" customHeight="1">
      <c r="A11" s="812" t="s">
        <v>738</v>
      </c>
      <c r="B11" s="50">
        <v>0</v>
      </c>
      <c r="C11" s="1052" t="s">
        <v>739</v>
      </c>
      <c r="D11" s="1047"/>
    </row>
    <row r="12" spans="1:4">
      <c r="A12" s="811" t="s">
        <v>740</v>
      </c>
      <c r="B12" s="796">
        <v>0</v>
      </c>
      <c r="C12" s="1046" t="s">
        <v>734</v>
      </c>
      <c r="D12" s="1047"/>
    </row>
    <row r="13" spans="1:4">
      <c r="A13" s="813" t="s">
        <v>741</v>
      </c>
      <c r="B13" s="44">
        <v>0</v>
      </c>
      <c r="C13" s="1046" t="s">
        <v>734</v>
      </c>
      <c r="D13" s="1047"/>
    </row>
    <row r="14" spans="1:4" ht="12" thickBot="1">
      <c r="A14" s="813" t="s">
        <v>742</v>
      </c>
      <c r="B14" s="797">
        <v>0</v>
      </c>
      <c r="C14" s="1037" t="s">
        <v>734</v>
      </c>
      <c r="D14" s="1038"/>
    </row>
    <row r="15" spans="1:4">
      <c r="A15" s="798" t="s">
        <v>743</v>
      </c>
      <c r="B15" s="786">
        <f>CEILING(B3*12.5,1)</f>
        <v>0</v>
      </c>
      <c r="C15" s="1039" t="s">
        <v>29</v>
      </c>
      <c r="D15" s="1040"/>
    </row>
    <row r="16" spans="1:4" ht="12" thickBot="1">
      <c r="A16" s="799" t="s">
        <v>744</v>
      </c>
      <c r="B16" s="800">
        <f>IF(B3&lt;0.71,2,IF(B3&lt;1.41,3,IF(B3&lt;2.11,4,IF(B3&lt;2.81,5,IF(B3&lt;3.51,6,IF(B3&lt;4.21,7))))))</f>
        <v>2</v>
      </c>
      <c r="C16" s="1041"/>
      <c r="D16" s="1042"/>
    </row>
    <row r="17" spans="1:7" ht="12" thickBot="1"/>
    <row r="18" spans="1:7" ht="12.75">
      <c r="A18" s="801" t="s">
        <v>7</v>
      </c>
      <c r="B18" s="801" t="s">
        <v>0</v>
      </c>
      <c r="C18" s="802" t="s">
        <v>4</v>
      </c>
      <c r="D18" s="801" t="s">
        <v>8</v>
      </c>
    </row>
    <row r="19" spans="1:7" ht="12.75" customHeight="1">
      <c r="A19" s="804" t="s">
        <v>745</v>
      </c>
      <c r="B19" s="48">
        <f>IF(B6=1,B15,0)*B8</f>
        <v>0</v>
      </c>
      <c r="C19" s="851"/>
      <c r="D19" s="805">
        <f t="shared" ref="D19:D45" si="0">B19*C19</f>
        <v>0</v>
      </c>
    </row>
    <row r="20" spans="1:7">
      <c r="A20" s="805" t="s">
        <v>746</v>
      </c>
      <c r="B20" s="48">
        <f>IF(B6=1,B15,0)*B8</f>
        <v>0</v>
      </c>
      <c r="C20" s="851"/>
      <c r="D20" s="805">
        <f t="shared" si="0"/>
        <v>0</v>
      </c>
    </row>
    <row r="21" spans="1:7">
      <c r="A21" s="805" t="s">
        <v>747</v>
      </c>
      <c r="B21" s="48">
        <f>1*B8</f>
        <v>0</v>
      </c>
      <c r="C21" s="851"/>
      <c r="D21" s="805">
        <f t="shared" si="0"/>
        <v>0</v>
      </c>
    </row>
    <row r="22" spans="1:7" ht="12" customHeight="1">
      <c r="A22" s="804" t="s">
        <v>748</v>
      </c>
      <c r="B22" s="48">
        <f>IF(B11&gt;2,B15/2,IF(B11=2,B15,0))*B8</f>
        <v>0</v>
      </c>
      <c r="C22" s="851"/>
      <c r="D22" s="805">
        <f t="shared" si="0"/>
        <v>0</v>
      </c>
    </row>
    <row r="23" spans="1:7" ht="11.25" customHeight="1">
      <c r="A23" s="804" t="s">
        <v>749</v>
      </c>
      <c r="B23" s="48">
        <f>IF(B11&gt;2,B15/2,IF(B11=1,B15,0))*B8</f>
        <v>0</v>
      </c>
      <c r="C23" s="851"/>
      <c r="D23" s="805">
        <f t="shared" si="0"/>
        <v>0</v>
      </c>
    </row>
    <row r="24" spans="1:7" ht="11.25" customHeight="1">
      <c r="A24" s="804" t="s">
        <v>750</v>
      </c>
      <c r="B24" s="48">
        <f>IF(B12&lt;&gt;1,B16,0)*B8</f>
        <v>0</v>
      </c>
      <c r="C24" s="851"/>
      <c r="D24" s="805">
        <f t="shared" si="0"/>
        <v>0</v>
      </c>
    </row>
    <row r="25" spans="1:7">
      <c r="A25" s="805" t="s">
        <v>184</v>
      </c>
      <c r="B25" s="48">
        <f>IF(B12&lt;&gt;1,B16,0)*B8</f>
        <v>0</v>
      </c>
      <c r="C25" s="851"/>
      <c r="D25" s="805">
        <f t="shared" si="0"/>
        <v>0</v>
      </c>
    </row>
    <row r="26" spans="1:7">
      <c r="A26" s="805" t="s">
        <v>751</v>
      </c>
      <c r="B26" s="48">
        <f>IF(B12&lt;&gt;0,B16,0)*B8</f>
        <v>0</v>
      </c>
      <c r="C26" s="851"/>
      <c r="D26" s="805">
        <f t="shared" si="0"/>
        <v>0</v>
      </c>
    </row>
    <row r="27" spans="1:7">
      <c r="A27" s="805" t="s">
        <v>741</v>
      </c>
      <c r="B27" s="48">
        <f>IF(B13=0,0,B16)*B8</f>
        <v>0</v>
      </c>
      <c r="C27" s="851"/>
      <c r="D27" s="805">
        <f t="shared" si="0"/>
        <v>0</v>
      </c>
    </row>
    <row r="28" spans="1:7">
      <c r="A28" s="805" t="s">
        <v>752</v>
      </c>
      <c r="B28" s="48">
        <f>IF(B13=1,0,IF(B12=0,B16,0))*B8</f>
        <v>0</v>
      </c>
      <c r="C28" s="851"/>
      <c r="D28" s="805">
        <f t="shared" si="0"/>
        <v>0</v>
      </c>
      <c r="G28">
        <v>1</v>
      </c>
    </row>
    <row r="29" spans="1:7">
      <c r="A29" s="805" t="s">
        <v>753</v>
      </c>
      <c r="B29" s="48">
        <f>(B3-0.027)*B8</f>
        <v>0</v>
      </c>
      <c r="C29" s="851"/>
      <c r="D29" s="805">
        <f t="shared" si="0"/>
        <v>0</v>
      </c>
    </row>
    <row r="30" spans="1:7" ht="12" customHeight="1">
      <c r="A30" s="804" t="s">
        <v>754</v>
      </c>
      <c r="B30" s="48">
        <f>1*B8</f>
        <v>0</v>
      </c>
      <c r="C30" s="851"/>
      <c r="D30" s="805">
        <f t="shared" si="0"/>
        <v>0</v>
      </c>
    </row>
    <row r="31" spans="1:7">
      <c r="A31" s="805" t="s">
        <v>755</v>
      </c>
      <c r="B31" s="48">
        <f>(B3-0.04)*B8</f>
        <v>0</v>
      </c>
      <c r="C31" s="851"/>
      <c r="D31" s="805">
        <f t="shared" si="0"/>
        <v>0</v>
      </c>
    </row>
    <row r="32" spans="1:7">
      <c r="A32" s="805" t="s">
        <v>756</v>
      </c>
      <c r="B32" s="48">
        <f>IF(B11=3,1,0)*B8</f>
        <v>0</v>
      </c>
      <c r="C32" s="851"/>
      <c r="D32" s="805">
        <f t="shared" si="0"/>
        <v>0</v>
      </c>
    </row>
    <row r="33" spans="1:4">
      <c r="A33" s="805" t="s">
        <v>757</v>
      </c>
      <c r="B33" s="48">
        <f>IF(B11=1,1,0)*B8</f>
        <v>0</v>
      </c>
      <c r="C33" s="851"/>
      <c r="D33" s="805">
        <f t="shared" si="0"/>
        <v>0</v>
      </c>
    </row>
    <row r="34" spans="1:4">
      <c r="A34" s="805" t="s">
        <v>758</v>
      </c>
      <c r="B34" s="48">
        <f>3*B8</f>
        <v>0</v>
      </c>
      <c r="C34" s="851"/>
      <c r="D34" s="805">
        <f t="shared" si="0"/>
        <v>0</v>
      </c>
    </row>
    <row r="35" spans="1:4">
      <c r="A35" s="805" t="s">
        <v>759</v>
      </c>
      <c r="B35" s="48">
        <f>IF(B3&lt;1.2,0,IF(B11=1,1,0))*B8</f>
        <v>0</v>
      </c>
      <c r="C35" s="851"/>
      <c r="D35" s="805">
        <f t="shared" si="0"/>
        <v>0</v>
      </c>
    </row>
    <row r="36" spans="1:4">
      <c r="A36" s="805" t="s">
        <v>742</v>
      </c>
      <c r="B36" s="48">
        <f>IF(B14=1,B16,0)*B8</f>
        <v>0</v>
      </c>
      <c r="C36" s="851"/>
      <c r="D36" s="805">
        <f t="shared" si="0"/>
        <v>0</v>
      </c>
    </row>
    <row r="37" spans="1:4">
      <c r="A37" s="805" t="s">
        <v>760</v>
      </c>
      <c r="B37" s="48">
        <f>IF(B11=1,1,2)*B8</f>
        <v>0</v>
      </c>
      <c r="C37" s="851"/>
      <c r="D37" s="805">
        <f t="shared" si="0"/>
        <v>0</v>
      </c>
    </row>
    <row r="38" spans="1:4">
      <c r="A38" s="805" t="s">
        <v>761</v>
      </c>
      <c r="B38" s="48">
        <f>IF(B6=1,IF(B10=2,(B15+1)*2*0.105,0),0)*B8</f>
        <v>0</v>
      </c>
      <c r="C38" s="851"/>
      <c r="D38" s="805">
        <f t="shared" si="0"/>
        <v>0</v>
      </c>
    </row>
    <row r="39" spans="1:4">
      <c r="A39" s="805" t="s">
        <v>762</v>
      </c>
      <c r="B39" s="48">
        <f>IF(B6=1,IF(B10=1,(B15+1)*2*0.105,0),0)*B8</f>
        <v>0</v>
      </c>
      <c r="C39" s="851"/>
      <c r="D39" s="805">
        <f t="shared" si="0"/>
        <v>0</v>
      </c>
    </row>
    <row r="40" spans="1:4">
      <c r="A40" s="805" t="s">
        <v>763</v>
      </c>
      <c r="B40" s="48">
        <f>IF(B6=2,IF(B10=1,B3*1.3,0),0)*B8</f>
        <v>0</v>
      </c>
      <c r="C40" s="851"/>
      <c r="D40" s="805">
        <f t="shared" si="0"/>
        <v>0</v>
      </c>
    </row>
    <row r="41" spans="1:4">
      <c r="A41" s="805" t="s">
        <v>764</v>
      </c>
      <c r="B41" s="48">
        <f>IF(B6=2,IF(B10=2,B3*1.3,0),0)*B8</f>
        <v>0</v>
      </c>
      <c r="C41" s="851"/>
      <c r="D41" s="805">
        <f t="shared" si="0"/>
        <v>0</v>
      </c>
    </row>
    <row r="42" spans="1:4">
      <c r="A42" s="803" t="s">
        <v>771</v>
      </c>
      <c r="B42" s="43">
        <f>((B3*2)+0.3)*B8</f>
        <v>0</v>
      </c>
      <c r="C42" s="851"/>
      <c r="D42" s="805">
        <f t="shared" si="0"/>
        <v>0</v>
      </c>
    </row>
    <row r="43" spans="1:4">
      <c r="A43" s="803" t="s">
        <v>775</v>
      </c>
      <c r="B43" s="43">
        <f>B8</f>
        <v>0</v>
      </c>
      <c r="C43" s="851"/>
      <c r="D43" s="805">
        <f t="shared" si="0"/>
        <v>0</v>
      </c>
    </row>
    <row r="44" spans="1:4">
      <c r="A44" s="814" t="s">
        <v>776</v>
      </c>
      <c r="B44" s="815">
        <f>B8</f>
        <v>0</v>
      </c>
      <c r="C44" s="852"/>
      <c r="D44" s="805">
        <f t="shared" si="0"/>
        <v>0</v>
      </c>
    </row>
    <row r="45" spans="1:4" ht="12" thickBot="1">
      <c r="A45" s="806" t="s">
        <v>765</v>
      </c>
      <c r="B45" s="807">
        <f>B15*(B4+0.045)</f>
        <v>0</v>
      </c>
      <c r="C45" s="853">
        <v>50</v>
      </c>
      <c r="D45" s="806">
        <f t="shared" si="0"/>
        <v>0</v>
      </c>
    </row>
    <row r="46" spans="1:4" ht="12" thickBot="1">
      <c r="A46" s="816"/>
      <c r="B46" s="817"/>
      <c r="C46" s="818" t="s">
        <v>9</v>
      </c>
      <c r="D46" s="819">
        <f>SUM(D19:D45)</f>
        <v>0</v>
      </c>
    </row>
    <row r="47" spans="1:4" ht="12" thickBot="1">
      <c r="A47" s="1043" t="s">
        <v>22</v>
      </c>
      <c r="B47" s="1044"/>
      <c r="C47" s="1044"/>
      <c r="D47" s="1045"/>
    </row>
    <row r="48" spans="1:4">
      <c r="A48" s="808" t="s">
        <v>766</v>
      </c>
      <c r="B48" s="778">
        <f>IF(B7=1,(B3+0.01+0.03)*B8,0)</f>
        <v>0</v>
      </c>
      <c r="C48" s="51"/>
      <c r="D48" s="809"/>
    </row>
    <row r="49" spans="1:4">
      <c r="A49" s="52" t="s">
        <v>767</v>
      </c>
      <c r="B49" s="779">
        <f>IF(B3&lt;0.71,2,IF(B3&lt;1.41,3,IF(B3&lt;2.11,4,IF(B3&lt;2.81,5,IF(B3&lt;3.51,6,IF(B3&lt;4.21,7,8))))))*B8</f>
        <v>0</v>
      </c>
      <c r="C49" s="781"/>
      <c r="D49" s="782"/>
    </row>
    <row r="50" spans="1:4">
      <c r="A50" s="52" t="s">
        <v>768</v>
      </c>
      <c r="B50" s="779">
        <f>2*B8</f>
        <v>0</v>
      </c>
      <c r="C50" s="781"/>
      <c r="D50" s="782"/>
    </row>
    <row r="51" spans="1:4">
      <c r="A51" s="52" t="s">
        <v>769</v>
      </c>
      <c r="B51" s="779">
        <f>B15*B8</f>
        <v>0</v>
      </c>
      <c r="C51" s="781"/>
      <c r="D51" s="782"/>
    </row>
    <row r="52" spans="1:4" ht="12" thickBot="1">
      <c r="A52" s="810" t="s">
        <v>770</v>
      </c>
      <c r="B52" s="783">
        <f>B15*B8</f>
        <v>0</v>
      </c>
      <c r="C52" s="53"/>
      <c r="D52" s="4"/>
    </row>
  </sheetData>
  <sheetProtection algorithmName="SHA-512" hashValue="CB8cp9Dn2wMhJTXhrppJ0s99lBJg4S8uUDVRZLkp6MMi6cduVHibJWLYDEXKBqkb+X2RP6efVr/oL68xSlqeZw==" saltValue="9Iy26SIhIygPpMzOPC5XCA==" spinCount="100000" sheet="1" objects="1" scenarios="1"/>
  <mergeCells count="14">
    <mergeCell ref="A2:D2"/>
    <mergeCell ref="C3:D3"/>
    <mergeCell ref="C4:D4"/>
    <mergeCell ref="C5:D5"/>
    <mergeCell ref="C6:D6"/>
    <mergeCell ref="C14:D14"/>
    <mergeCell ref="C15:D16"/>
    <mergeCell ref="A47:D47"/>
    <mergeCell ref="C7:D7"/>
    <mergeCell ref="C8:D8"/>
    <mergeCell ref="C10:D10"/>
    <mergeCell ref="C11:D11"/>
    <mergeCell ref="C12:D12"/>
    <mergeCell ref="C13:D13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I37"/>
  <sheetViews>
    <sheetView workbookViewId="0">
      <selection activeCell="B12" sqref="B12:B36"/>
    </sheetView>
  </sheetViews>
  <sheetFormatPr defaultRowHeight="11.25"/>
  <cols>
    <col min="1" max="1" width="51.6640625" customWidth="1"/>
    <col min="2" max="2" width="15.83203125" customWidth="1"/>
    <col min="3" max="3" width="16.1640625" customWidth="1"/>
    <col min="4" max="4" width="16" customWidth="1"/>
    <col min="9" max="9" width="0" hidden="1" customWidth="1"/>
  </cols>
  <sheetData>
    <row r="1" spans="1:9" ht="27" thickBot="1">
      <c r="A1" s="1057" t="s">
        <v>720</v>
      </c>
      <c r="B1" s="1058"/>
      <c r="C1" s="1058"/>
      <c r="D1" s="1058"/>
      <c r="E1" s="735"/>
      <c r="F1" s="71"/>
    </row>
    <row r="2" spans="1:9">
      <c r="A2" s="1110" t="s">
        <v>10</v>
      </c>
      <c r="B2" s="1111"/>
      <c r="C2" s="1111"/>
      <c r="D2" s="737"/>
    </row>
    <row r="3" spans="1:9">
      <c r="A3" s="1108" t="s">
        <v>1</v>
      </c>
      <c r="B3" s="1109"/>
      <c r="C3" s="1109"/>
      <c r="D3" s="738"/>
    </row>
    <row r="4" spans="1:9">
      <c r="A4" s="1108" t="s">
        <v>2</v>
      </c>
      <c r="B4" s="1109"/>
      <c r="C4" s="1109"/>
      <c r="D4" s="739"/>
    </row>
    <row r="5" spans="1:9">
      <c r="A5" s="1108" t="s">
        <v>696</v>
      </c>
      <c r="B5" s="1109"/>
      <c r="C5" s="1109"/>
      <c r="D5" s="739"/>
      <c r="I5" s="736" t="s">
        <v>707</v>
      </c>
    </row>
    <row r="6" spans="1:9">
      <c r="A6" s="1103" t="s">
        <v>568</v>
      </c>
      <c r="B6" s="1104"/>
      <c r="C6" s="1105"/>
      <c r="D6" s="739"/>
      <c r="I6" s="736" t="s">
        <v>708</v>
      </c>
    </row>
    <row r="7" spans="1:9">
      <c r="A7" s="1108" t="s">
        <v>130</v>
      </c>
      <c r="B7" s="1109"/>
      <c r="C7" s="1109"/>
      <c r="D7" s="762"/>
      <c r="I7" s="736"/>
    </row>
    <row r="8" spans="1:9" ht="12" thickBot="1">
      <c r="A8" s="1106" t="s">
        <v>571</v>
      </c>
      <c r="B8" s="1107"/>
      <c r="C8" s="1107"/>
      <c r="D8" s="740"/>
      <c r="E8" s="13"/>
      <c r="F8" s="71"/>
      <c r="I8" s="736" t="s">
        <v>709</v>
      </c>
    </row>
    <row r="9" spans="1:9">
      <c r="A9" s="768"/>
      <c r="B9" s="769"/>
      <c r="C9" s="769"/>
      <c r="D9" s="770"/>
      <c r="E9" s="13"/>
      <c r="F9" s="71"/>
      <c r="I9" s="736"/>
    </row>
    <row r="10" spans="1:9" ht="12" thickBot="1">
      <c r="A10" s="18" t="s">
        <v>11</v>
      </c>
      <c r="B10" s="19"/>
      <c r="C10" s="19"/>
      <c r="D10" s="19"/>
      <c r="E10" s="13"/>
      <c r="F10" s="71"/>
      <c r="I10" s="736" t="s">
        <v>710</v>
      </c>
    </row>
    <row r="11" spans="1:9">
      <c r="A11" s="20"/>
      <c r="B11" s="22" t="s">
        <v>4</v>
      </c>
      <c r="C11" s="22" t="s">
        <v>13</v>
      </c>
      <c r="D11" s="741" t="s">
        <v>8</v>
      </c>
      <c r="F11" s="71"/>
    </row>
    <row r="12" spans="1:9" ht="12" customHeight="1">
      <c r="A12" s="742" t="s">
        <v>104</v>
      </c>
      <c r="B12" s="743">
        <v>9</v>
      </c>
      <c r="C12" s="123">
        <f>4*D4</f>
        <v>0</v>
      </c>
      <c r="D12" s="26">
        <f>C12*B12</f>
        <v>0</v>
      </c>
      <c r="F12" s="71"/>
    </row>
    <row r="13" spans="1:9">
      <c r="A13" s="752" t="s">
        <v>711</v>
      </c>
      <c r="B13" s="743"/>
      <c r="C13" s="123">
        <f>D4</f>
        <v>0</v>
      </c>
      <c r="D13" s="26">
        <f t="shared" ref="D13:D27" si="0">C13*B13</f>
        <v>0</v>
      </c>
      <c r="F13" s="71"/>
    </row>
    <row r="14" spans="1:9">
      <c r="A14" s="742" t="s">
        <v>697</v>
      </c>
      <c r="B14" s="743"/>
      <c r="C14" s="123">
        <f>IF(D2&gt;0,(D2-0.016)*D4,0)</f>
        <v>0</v>
      </c>
      <c r="D14" s="26">
        <f t="shared" si="0"/>
        <v>0</v>
      </c>
      <c r="F14" s="759"/>
    </row>
    <row r="15" spans="1:9">
      <c r="A15" s="742" t="s">
        <v>698</v>
      </c>
      <c r="B15" s="743"/>
      <c r="C15" s="747">
        <f>IF(D2&gt;0,(D2-0.02)*D4,0)</f>
        <v>0</v>
      </c>
      <c r="D15" s="26">
        <f t="shared" si="0"/>
        <v>0</v>
      </c>
      <c r="F15" s="71"/>
    </row>
    <row r="16" spans="1:9">
      <c r="A16" s="742" t="s">
        <v>714</v>
      </c>
      <c r="B16" s="743"/>
      <c r="C16" s="747">
        <f>IF(D3&gt;0,(D3-0.035)*2*D4,0)</f>
        <v>0</v>
      </c>
      <c r="D16" s="26">
        <f t="shared" si="0"/>
        <v>0</v>
      </c>
      <c r="F16" s="71"/>
    </row>
    <row r="17" spans="1:6">
      <c r="A17" s="742" t="s">
        <v>719</v>
      </c>
      <c r="B17" s="743"/>
      <c r="C17" s="747">
        <f>IF(D2&gt;0,(D2-0.022)*D4,0)</f>
        <v>0</v>
      </c>
      <c r="D17" s="26">
        <f t="shared" si="0"/>
        <v>0</v>
      </c>
      <c r="F17" s="71"/>
    </row>
    <row r="18" spans="1:6">
      <c r="A18" s="742" t="s">
        <v>18</v>
      </c>
      <c r="B18" s="743"/>
      <c r="C18" s="747">
        <f>IF(D3&gt;0,(D3-0.035)*2*D4,0)</f>
        <v>0</v>
      </c>
      <c r="D18" s="26">
        <f t="shared" si="0"/>
        <v>0</v>
      </c>
      <c r="F18" s="71"/>
    </row>
    <row r="19" spans="1:6">
      <c r="A19" s="742" t="s">
        <v>19</v>
      </c>
      <c r="B19" s="748"/>
      <c r="C19" s="747">
        <f>IF(D2&gt;0,(D2-0.016)*D4,0)</f>
        <v>0</v>
      </c>
      <c r="D19" s="26">
        <f t="shared" si="0"/>
        <v>0</v>
      </c>
      <c r="F19" s="71"/>
    </row>
    <row r="20" spans="1:6">
      <c r="A20" s="742" t="s">
        <v>20</v>
      </c>
      <c r="B20" s="748"/>
      <c r="C20" s="747">
        <f>IF(D2&gt;0,(D2-0.022)*D4,0)</f>
        <v>0</v>
      </c>
      <c r="D20" s="26">
        <f t="shared" si="0"/>
        <v>0</v>
      </c>
      <c r="F20" s="71"/>
    </row>
    <row r="21" spans="1:6">
      <c r="A21" s="742" t="s">
        <v>715</v>
      </c>
      <c r="B21" s="749"/>
      <c r="C21" s="750">
        <f>D4</f>
        <v>0</v>
      </c>
      <c r="D21" s="751">
        <f t="shared" si="0"/>
        <v>0</v>
      </c>
      <c r="F21" s="71"/>
    </row>
    <row r="22" spans="1:6">
      <c r="A22" s="742" t="s">
        <v>716</v>
      </c>
      <c r="B22" s="749"/>
      <c r="C22" s="750">
        <f>D4</f>
        <v>0</v>
      </c>
      <c r="D22" s="751">
        <f t="shared" si="0"/>
        <v>0</v>
      </c>
      <c r="F22" s="71"/>
    </row>
    <row r="23" spans="1:6">
      <c r="A23" s="742" t="s">
        <v>566</v>
      </c>
      <c r="B23" s="749"/>
      <c r="C23" s="750">
        <f>D4</f>
        <v>0</v>
      </c>
      <c r="D23" s="751">
        <f t="shared" si="0"/>
        <v>0</v>
      </c>
      <c r="F23" s="71"/>
    </row>
    <row r="24" spans="1:6">
      <c r="A24" s="742" t="s">
        <v>570</v>
      </c>
      <c r="B24" s="749"/>
      <c r="C24" s="750">
        <f>D8</f>
        <v>0</v>
      </c>
      <c r="D24" s="751">
        <f t="shared" si="0"/>
        <v>0</v>
      </c>
      <c r="F24" s="71"/>
    </row>
    <row r="25" spans="1:6">
      <c r="A25" s="742" t="s">
        <v>569</v>
      </c>
      <c r="B25" s="749"/>
      <c r="C25" s="750">
        <f>D7</f>
        <v>0</v>
      </c>
      <c r="D25" s="751">
        <f t="shared" si="0"/>
        <v>0</v>
      </c>
      <c r="E25" s="13"/>
      <c r="F25" s="71"/>
    </row>
    <row r="26" spans="1:6">
      <c r="A26" s="742" t="s">
        <v>567</v>
      </c>
      <c r="B26" s="743"/>
      <c r="C26" s="123">
        <f>D6</f>
        <v>0</v>
      </c>
      <c r="D26" s="26">
        <f t="shared" si="0"/>
        <v>0</v>
      </c>
      <c r="E26" s="13"/>
      <c r="F26" s="71"/>
    </row>
    <row r="27" spans="1:6" ht="12" thickBot="1">
      <c r="A27" s="761" t="s">
        <v>717</v>
      </c>
      <c r="B27" s="771"/>
      <c r="C27" s="772">
        <f>IF(D2&gt;0,(D2-0.02)*D4,0)</f>
        <v>0</v>
      </c>
      <c r="D27" s="773">
        <f t="shared" si="0"/>
        <v>0</v>
      </c>
      <c r="E27" s="13"/>
      <c r="F27" s="71"/>
    </row>
    <row r="28" spans="1:6" ht="12" thickBot="1">
      <c r="A28" s="756" t="s">
        <v>703</v>
      </c>
      <c r="B28" s="868"/>
      <c r="C28" s="13"/>
      <c r="D28" s="760"/>
      <c r="E28" s="13"/>
      <c r="F28" s="71"/>
    </row>
    <row r="29" spans="1:6" ht="12" thickBot="1">
      <c r="A29" s="16"/>
      <c r="B29" s="868"/>
      <c r="C29" s="13"/>
      <c r="D29" s="13"/>
      <c r="E29" s="71"/>
    </row>
    <row r="30" spans="1:6">
      <c r="A30" s="36" t="s">
        <v>35</v>
      </c>
      <c r="B30" s="870"/>
      <c r="C30" s="21"/>
      <c r="D30" s="103"/>
    </row>
    <row r="31" spans="1:6" ht="12" thickBot="1">
      <c r="A31" s="754" t="s">
        <v>25</v>
      </c>
      <c r="B31" s="755"/>
      <c r="C31" s="758">
        <f>IF(AND(D2&gt;0,D5="Нет"),((D2-0.02)+0.1)*D4,0)</f>
        <v>0</v>
      </c>
      <c r="D31" s="34">
        <f t="shared" ref="D31" si="1">C31*B31</f>
        <v>0</v>
      </c>
    </row>
    <row r="32" spans="1:6" ht="12" thickBot="1">
      <c r="A32" s="756" t="s">
        <v>703</v>
      </c>
      <c r="B32" s="868"/>
      <c r="C32" s="13"/>
      <c r="D32" s="757"/>
    </row>
    <row r="33" spans="1:4">
      <c r="A33" s="40"/>
      <c r="B33" s="868"/>
      <c r="C33" s="13"/>
      <c r="D33" s="13"/>
    </row>
    <row r="34" spans="1:4">
      <c r="A34" s="18" t="s">
        <v>706</v>
      </c>
      <c r="B34" s="868"/>
      <c r="C34" s="13"/>
      <c r="D34" s="13"/>
    </row>
    <row r="35" spans="1:4" ht="12" thickBot="1">
      <c r="A35" s="18"/>
      <c r="B35" s="868"/>
      <c r="C35" s="13"/>
      <c r="D35" s="13"/>
    </row>
    <row r="36" spans="1:4" ht="12" thickBot="1">
      <c r="A36" s="763" t="s">
        <v>712</v>
      </c>
      <c r="B36" s="764"/>
      <c r="C36" s="765">
        <f>D4</f>
        <v>0</v>
      </c>
      <c r="D36" s="766">
        <f>C36*B36</f>
        <v>0</v>
      </c>
    </row>
    <row r="37" spans="1:4" ht="12" thickBot="1">
      <c r="A37" s="756" t="s">
        <v>703</v>
      </c>
      <c r="B37" s="13"/>
      <c r="C37" s="13"/>
      <c r="D37" s="757"/>
    </row>
  </sheetData>
  <sheetProtection algorithmName="SHA-512" hashValue="sB6fzGHvubl91a++448N1xwVM1xV8du0GyZ4MYrcuZ579EyElKHHhbXez8HETpRk/4Qu1+bBDhMpIJcCbi3X4A==" saltValue="H/hEychs7KrsOcfLMamTUw==" spinCount="100000" sheet="1" objects="1" scenarios="1"/>
  <mergeCells count="8">
    <mergeCell ref="A6:C6"/>
    <mergeCell ref="A7:C7"/>
    <mergeCell ref="A8:C8"/>
    <mergeCell ref="A1:D1"/>
    <mergeCell ref="A2:C2"/>
    <mergeCell ref="A3:C3"/>
    <mergeCell ref="A4:C4"/>
    <mergeCell ref="A5:C5"/>
  </mergeCells>
  <dataValidations count="2">
    <dataValidation type="list" allowBlank="1" showInputMessage="1" showErrorMessage="1" sqref="D5">
      <formula1>$I$7:$I$10</formula1>
    </dataValidation>
    <dataValidation type="list" allowBlank="1" showInputMessage="1" showErrorMessage="1" sqref="D6:D9">
      <formula1>$I$8:$I$12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L32"/>
  <sheetViews>
    <sheetView zoomScale="115" workbookViewId="0">
      <selection activeCell="D14" sqref="D14:D31"/>
    </sheetView>
  </sheetViews>
  <sheetFormatPr defaultRowHeight="11.25"/>
  <cols>
    <col min="1" max="1" width="58.33203125" customWidth="1"/>
    <col min="2" max="2" width="10" bestFit="1" customWidth="1"/>
    <col min="3" max="3" width="8.5" bestFit="1" customWidth="1"/>
    <col min="4" max="4" width="7.33203125" customWidth="1"/>
    <col min="5" max="5" width="12.1640625" customWidth="1"/>
    <col min="6" max="6" width="3.83203125" customWidth="1"/>
  </cols>
  <sheetData>
    <row r="1" spans="1:12" ht="27" thickBot="1">
      <c r="A1" s="1053" t="s">
        <v>133</v>
      </c>
      <c r="B1" s="1054"/>
      <c r="C1" s="1054"/>
      <c r="D1" s="1054"/>
      <c r="E1" s="1076"/>
    </row>
    <row r="2" spans="1:12" ht="15" thickBot="1">
      <c r="A2" s="1077" t="s">
        <v>3</v>
      </c>
      <c r="B2" s="1078"/>
      <c r="C2" s="1078"/>
      <c r="D2" s="1078"/>
      <c r="E2" s="1079"/>
    </row>
    <row r="3" spans="1:12">
      <c r="A3" s="45" t="s">
        <v>6</v>
      </c>
      <c r="B3" s="885">
        <v>0.6</v>
      </c>
      <c r="C3" s="1055" t="s">
        <v>30</v>
      </c>
      <c r="D3" s="1081"/>
      <c r="E3" s="1056"/>
      <c r="G3" s="1059" t="s">
        <v>122</v>
      </c>
      <c r="H3" s="1060"/>
      <c r="I3" s="1060"/>
      <c r="J3" s="1060"/>
      <c r="K3" s="1060"/>
      <c r="L3" s="1061"/>
    </row>
    <row r="4" spans="1:12" ht="12" thickBot="1">
      <c r="A4" s="46" t="s">
        <v>1</v>
      </c>
      <c r="B4" s="886">
        <v>1.6</v>
      </c>
      <c r="C4" s="1124" t="s">
        <v>30</v>
      </c>
      <c r="D4" s="1083"/>
      <c r="E4" s="1084"/>
      <c r="G4" s="1062"/>
      <c r="H4" s="1063"/>
      <c r="I4" s="1063"/>
      <c r="J4" s="1063"/>
      <c r="K4" s="1063"/>
      <c r="L4" s="1064"/>
    </row>
    <row r="5" spans="1:12">
      <c r="A5" s="46" t="s">
        <v>36</v>
      </c>
      <c r="B5" s="886">
        <v>2</v>
      </c>
      <c r="C5" s="1115" t="s">
        <v>37</v>
      </c>
      <c r="D5" s="1086"/>
      <c r="E5" s="1087"/>
    </row>
    <row r="6" spans="1:12">
      <c r="A6" s="46" t="s">
        <v>31</v>
      </c>
      <c r="B6" s="887">
        <v>1</v>
      </c>
      <c r="C6" s="1115" t="s">
        <v>33</v>
      </c>
      <c r="D6" s="1099"/>
      <c r="E6" s="1100"/>
    </row>
    <row r="7" spans="1:12">
      <c r="A7" s="46" t="s">
        <v>137</v>
      </c>
      <c r="B7" s="887">
        <v>2</v>
      </c>
      <c r="C7" s="1050" t="s">
        <v>138</v>
      </c>
      <c r="D7" s="1116"/>
      <c r="E7" s="1117"/>
    </row>
    <row r="8" spans="1:12" ht="24" customHeight="1">
      <c r="A8" s="49" t="s">
        <v>32</v>
      </c>
      <c r="B8" s="888">
        <v>2</v>
      </c>
      <c r="C8" s="1052" t="s">
        <v>34</v>
      </c>
      <c r="D8" s="1095"/>
      <c r="E8" s="1047"/>
    </row>
    <row r="9" spans="1:12">
      <c r="A9" s="138" t="s">
        <v>53</v>
      </c>
      <c r="B9" s="889">
        <v>1</v>
      </c>
      <c r="C9" s="1118" t="s">
        <v>30</v>
      </c>
      <c r="D9" s="1119"/>
      <c r="E9" s="1120"/>
    </row>
    <row r="10" spans="1:12">
      <c r="A10" s="152" t="s">
        <v>571</v>
      </c>
      <c r="B10" s="889">
        <v>1</v>
      </c>
      <c r="C10" s="1121"/>
      <c r="D10" s="1122"/>
      <c r="E10" s="1123"/>
    </row>
    <row r="11" spans="1:12" ht="12" thickBot="1">
      <c r="A11" s="9" t="s">
        <v>568</v>
      </c>
      <c r="B11" s="890">
        <v>50</v>
      </c>
      <c r="C11" s="1112"/>
      <c r="D11" s="1113"/>
      <c r="E11" s="1114"/>
    </row>
    <row r="12" spans="1:12" ht="12" thickBot="1"/>
    <row r="13" spans="1:12" ht="12.75">
      <c r="A13" s="293" t="s">
        <v>7</v>
      </c>
      <c r="B13" s="294" t="s">
        <v>85</v>
      </c>
      <c r="C13" s="294" t="s">
        <v>0</v>
      </c>
      <c r="D13" s="58" t="s">
        <v>4</v>
      </c>
      <c r="E13" s="295" t="s">
        <v>8</v>
      </c>
    </row>
    <row r="14" spans="1:12">
      <c r="A14" s="23" t="s">
        <v>578</v>
      </c>
      <c r="B14" s="290"/>
      <c r="C14" s="292">
        <f>(IF(B5=2,B3-0.031,B3+0.005))*B9</f>
        <v>0.56899999999999995</v>
      </c>
      <c r="D14" s="839">
        <v>9</v>
      </c>
      <c r="E14" s="60">
        <f t="shared" ref="E14:E27" si="0">C14*D14</f>
        <v>5.1209999999999996</v>
      </c>
    </row>
    <row r="15" spans="1:12">
      <c r="A15" s="52" t="s">
        <v>112</v>
      </c>
      <c r="B15" s="290"/>
      <c r="C15" s="292">
        <f>2*B9</f>
        <v>2</v>
      </c>
      <c r="D15" s="839"/>
      <c r="E15" s="60">
        <f t="shared" si="0"/>
        <v>0</v>
      </c>
    </row>
    <row r="16" spans="1:12">
      <c r="A16" s="27" t="s">
        <v>108</v>
      </c>
      <c r="B16" s="290"/>
      <c r="C16" s="292">
        <f>(IF(B5=1,B3,B3-0.036))*B9</f>
        <v>0.56399999999999995</v>
      </c>
      <c r="D16" s="839"/>
      <c r="E16" s="60">
        <f t="shared" si="0"/>
        <v>0</v>
      </c>
    </row>
    <row r="17" spans="1:5">
      <c r="A17" s="23" t="s">
        <v>50</v>
      </c>
      <c r="B17" s="290"/>
      <c r="C17" s="292">
        <f>C14</f>
        <v>0.56899999999999995</v>
      </c>
      <c r="D17" s="839"/>
      <c r="E17" s="60">
        <f t="shared" si="0"/>
        <v>0</v>
      </c>
    </row>
    <row r="18" spans="1:5">
      <c r="A18" s="23" t="s">
        <v>49</v>
      </c>
      <c r="B18" s="290"/>
      <c r="C18" s="292">
        <f>C16</f>
        <v>0.56399999999999995</v>
      </c>
      <c r="D18" s="839"/>
      <c r="E18" s="60">
        <f t="shared" si="0"/>
        <v>0</v>
      </c>
    </row>
    <row r="19" spans="1:5">
      <c r="A19" s="52" t="s">
        <v>113</v>
      </c>
      <c r="B19" s="290"/>
      <c r="C19" s="291">
        <f>B3*B9</f>
        <v>0.6</v>
      </c>
      <c r="D19" s="836"/>
      <c r="E19" s="144">
        <f t="shared" si="0"/>
        <v>0</v>
      </c>
    </row>
    <row r="20" spans="1:5">
      <c r="A20" s="52" t="s">
        <v>114</v>
      </c>
      <c r="B20" s="290"/>
      <c r="C20" s="291">
        <f>B9*2</f>
        <v>2</v>
      </c>
      <c r="D20" s="836"/>
      <c r="E20" s="144">
        <f t="shared" si="0"/>
        <v>0</v>
      </c>
    </row>
    <row r="21" spans="1:5">
      <c r="A21" s="101" t="s">
        <v>40</v>
      </c>
      <c r="B21" s="290"/>
      <c r="C21" s="292">
        <f>(IF(B6=1,B4*2+0.2,0))*B9</f>
        <v>3.4000000000000004</v>
      </c>
      <c r="D21" s="839"/>
      <c r="E21" s="60">
        <f t="shared" si="0"/>
        <v>0</v>
      </c>
    </row>
    <row r="22" spans="1:5">
      <c r="A22" s="102" t="s">
        <v>135</v>
      </c>
      <c r="B22" s="290"/>
      <c r="C22" s="292">
        <f>(IF(B6=1,2,0))*B9</f>
        <v>2</v>
      </c>
      <c r="D22" s="839"/>
      <c r="E22" s="60">
        <f t="shared" si="0"/>
        <v>0</v>
      </c>
    </row>
    <row r="23" spans="1:5">
      <c r="A23" s="52" t="s">
        <v>111</v>
      </c>
      <c r="B23" s="290"/>
      <c r="C23" s="292">
        <f>(IF(B8=3,2,0))*B9</f>
        <v>0</v>
      </c>
      <c r="D23" s="839"/>
      <c r="E23" s="60">
        <f t="shared" si="0"/>
        <v>0</v>
      </c>
    </row>
    <row r="24" spans="1:5">
      <c r="A24" s="52" t="s">
        <v>110</v>
      </c>
      <c r="B24" s="290"/>
      <c r="C24" s="292">
        <f>(IF(B8=3,2,0))*B9</f>
        <v>0</v>
      </c>
      <c r="D24" s="839"/>
      <c r="E24" s="60">
        <f t="shared" si="0"/>
        <v>0</v>
      </c>
    </row>
    <row r="25" spans="1:5">
      <c r="A25" s="102" t="s">
        <v>136</v>
      </c>
      <c r="B25" s="290"/>
      <c r="C25" s="292">
        <f>(IF(B8=3,(IF(B7=2,2,0)),0))*B9</f>
        <v>0</v>
      </c>
      <c r="D25" s="839"/>
      <c r="E25" s="60"/>
    </row>
    <row r="26" spans="1:5">
      <c r="A26" s="102" t="s">
        <v>134</v>
      </c>
      <c r="B26" s="290"/>
      <c r="C26" s="292">
        <f>(IF(B8=2,2,0))*B9</f>
        <v>2</v>
      </c>
      <c r="D26" s="839"/>
      <c r="E26" s="60">
        <f t="shared" si="0"/>
        <v>0</v>
      </c>
    </row>
    <row r="27" spans="1:5">
      <c r="A27" s="52" t="s">
        <v>109</v>
      </c>
      <c r="B27" s="290"/>
      <c r="C27" s="292">
        <f>(IF(B8=2,2,0))*B9</f>
        <v>2</v>
      </c>
      <c r="D27" s="839"/>
      <c r="E27" s="60">
        <f t="shared" si="0"/>
        <v>0</v>
      </c>
    </row>
    <row r="28" spans="1:5">
      <c r="A28" s="52" t="s">
        <v>232</v>
      </c>
      <c r="B28" s="290"/>
      <c r="C28" s="292">
        <f>B9</f>
        <v>1</v>
      </c>
      <c r="D28" s="839"/>
      <c r="E28" s="60">
        <f>C28*D28</f>
        <v>0</v>
      </c>
    </row>
    <row r="29" spans="1:5">
      <c r="A29" s="23" t="s">
        <v>566</v>
      </c>
      <c r="B29" s="24"/>
      <c r="C29" s="135">
        <f>B9</f>
        <v>1</v>
      </c>
      <c r="D29" s="882"/>
      <c r="E29" s="140">
        <f>D29*C29</f>
        <v>0</v>
      </c>
    </row>
    <row r="30" spans="1:5">
      <c r="A30" s="133" t="s">
        <v>579</v>
      </c>
      <c r="B30" s="127"/>
      <c r="C30" s="136">
        <f>B10</f>
        <v>1</v>
      </c>
      <c r="D30" s="883"/>
      <c r="E30" s="141">
        <f>C30*D30</f>
        <v>0</v>
      </c>
    </row>
    <row r="31" spans="1:5" ht="12" thickBot="1">
      <c r="A31" s="23" t="s">
        <v>569</v>
      </c>
      <c r="B31" s="134"/>
      <c r="C31" s="137">
        <f>B11</f>
        <v>50</v>
      </c>
      <c r="D31" s="884"/>
      <c r="E31" s="142">
        <f>D31*C31</f>
        <v>0</v>
      </c>
    </row>
    <row r="32" spans="1:5">
      <c r="D32" s="3" t="s">
        <v>9</v>
      </c>
      <c r="E32" s="3">
        <f>SUM(E14:E31)</f>
        <v>5.1209999999999996</v>
      </c>
    </row>
  </sheetData>
  <sheetProtection algorithmName="SHA-512" hashValue="iiMuIVt2f0ffdw9TFcoTd3JcuxBbpCDy3ab5Ndfw6fTiDwzvkH+kFS5KdPUi8g/aZ1srSjvt3xTZZUwqn7CR8Q==" saltValue="FJ3PZ1yp03Ct5gm6nDpRig==" spinCount="100000" sheet="1" objects="1" scenarios="1"/>
  <mergeCells count="12">
    <mergeCell ref="C5:E5"/>
    <mergeCell ref="A1:E1"/>
    <mergeCell ref="A2:E2"/>
    <mergeCell ref="C3:E3"/>
    <mergeCell ref="G3:L4"/>
    <mergeCell ref="C4:E4"/>
    <mergeCell ref="C11:E11"/>
    <mergeCell ref="C6:E6"/>
    <mergeCell ref="C7:E7"/>
    <mergeCell ref="C8:E8"/>
    <mergeCell ref="C9:E9"/>
    <mergeCell ref="C10:E10"/>
  </mergeCells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L52"/>
  <sheetViews>
    <sheetView topLeftCell="A13" zoomScale="115" workbookViewId="0">
      <selection activeCell="H21" sqref="H21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3.5" bestFit="1" customWidth="1"/>
    <col min="6" max="6" width="3.83203125" customWidth="1"/>
    <col min="8" max="8" width="21.1640625" customWidth="1"/>
  </cols>
  <sheetData>
    <row r="1" spans="1:12" ht="27" thickBot="1">
      <c r="A1" s="1053" t="s">
        <v>161</v>
      </c>
      <c r="B1" s="1054"/>
      <c r="C1" s="1054"/>
      <c r="D1" s="1054"/>
      <c r="E1" s="1076"/>
    </row>
    <row r="2" spans="1:12" ht="15" thickBot="1">
      <c r="A2" s="1077" t="s">
        <v>3</v>
      </c>
      <c r="B2" s="1078"/>
      <c r="C2" s="1078"/>
      <c r="D2" s="1078"/>
      <c r="E2" s="1079"/>
      <c r="G2" s="1059" t="s">
        <v>122</v>
      </c>
      <c r="H2" s="1060"/>
      <c r="I2" s="1060"/>
      <c r="J2" s="1060"/>
      <c r="K2" s="1060"/>
      <c r="L2" s="1061"/>
    </row>
    <row r="3" spans="1:12" ht="12" thickBot="1">
      <c r="A3" s="45" t="s">
        <v>6</v>
      </c>
      <c r="B3" s="885">
        <v>3</v>
      </c>
      <c r="C3" s="1055" t="s">
        <v>30</v>
      </c>
      <c r="D3" s="1081"/>
      <c r="E3" s="1056"/>
      <c r="G3" s="1062"/>
      <c r="H3" s="1063"/>
      <c r="I3" s="1063"/>
      <c r="J3" s="1063"/>
      <c r="K3" s="1063"/>
      <c r="L3" s="1064"/>
    </row>
    <row r="4" spans="1:12">
      <c r="A4" s="46" t="s">
        <v>1</v>
      </c>
      <c r="B4" s="891">
        <v>1</v>
      </c>
      <c r="C4" s="1133" t="s">
        <v>30</v>
      </c>
      <c r="D4" s="1128"/>
      <c r="E4" s="1129"/>
    </row>
    <row r="5" spans="1:12">
      <c r="A5" s="46" t="s">
        <v>60</v>
      </c>
      <c r="B5" s="891">
        <v>25</v>
      </c>
      <c r="C5" s="1127" t="s">
        <v>61</v>
      </c>
      <c r="D5" s="1134"/>
      <c r="E5" s="1135"/>
    </row>
    <row r="6" spans="1:12">
      <c r="A6" s="46" t="s">
        <v>55</v>
      </c>
      <c r="B6" s="892">
        <v>0</v>
      </c>
      <c r="C6" s="1125" t="s">
        <v>33</v>
      </c>
      <c r="D6" s="1109"/>
      <c r="E6" s="1126"/>
      <c r="H6" s="71"/>
      <c r="I6" s="71"/>
      <c r="J6" s="71"/>
    </row>
    <row r="7" spans="1:12">
      <c r="A7" s="47" t="s">
        <v>59</v>
      </c>
      <c r="B7" s="893">
        <v>0</v>
      </c>
      <c r="C7" s="1127" t="s">
        <v>33</v>
      </c>
      <c r="D7" s="1128"/>
      <c r="E7" s="1129"/>
      <c r="H7" s="71"/>
      <c r="I7" s="71"/>
      <c r="J7" s="71"/>
    </row>
    <row r="8" spans="1:12">
      <c r="A8" s="47" t="s">
        <v>56</v>
      </c>
      <c r="B8" s="893">
        <v>0</v>
      </c>
      <c r="C8" s="1127" t="s">
        <v>33</v>
      </c>
      <c r="D8" s="1128"/>
      <c r="E8" s="1129"/>
      <c r="H8" s="72"/>
      <c r="I8" s="71"/>
      <c r="J8" s="71"/>
    </row>
    <row r="9" spans="1:12">
      <c r="A9" s="47" t="s">
        <v>57</v>
      </c>
      <c r="B9" s="894">
        <v>1</v>
      </c>
      <c r="C9" s="1125" t="s">
        <v>33</v>
      </c>
      <c r="D9" s="1109"/>
      <c r="E9" s="1126"/>
      <c r="H9" s="71"/>
      <c r="I9" s="71"/>
      <c r="J9" s="71"/>
    </row>
    <row r="10" spans="1:12">
      <c r="A10" s="47" t="s">
        <v>162</v>
      </c>
      <c r="B10" s="894">
        <v>1</v>
      </c>
      <c r="C10" s="1145"/>
      <c r="D10" s="1146"/>
      <c r="E10" s="1147"/>
      <c r="H10" s="71"/>
      <c r="I10" s="71"/>
      <c r="J10" s="71"/>
    </row>
    <row r="11" spans="1:12">
      <c r="A11" s="138" t="s">
        <v>53</v>
      </c>
      <c r="B11" s="895">
        <v>1</v>
      </c>
      <c r="C11" s="1142" t="s">
        <v>30</v>
      </c>
      <c r="D11" s="1143"/>
      <c r="E11" s="1144"/>
      <c r="H11" s="71"/>
      <c r="I11" s="71"/>
      <c r="J11" s="71"/>
    </row>
    <row r="12" spans="1:12">
      <c r="A12" s="152" t="s">
        <v>157</v>
      </c>
      <c r="B12" s="895">
        <v>1</v>
      </c>
      <c r="C12" s="157"/>
      <c r="D12" s="157"/>
      <c r="E12" s="158"/>
      <c r="H12" s="71"/>
      <c r="I12" s="71"/>
      <c r="J12" s="71"/>
    </row>
    <row r="13" spans="1:12">
      <c r="A13" s="152" t="s">
        <v>144</v>
      </c>
      <c r="B13" s="895">
        <v>2</v>
      </c>
      <c r="C13" s="157"/>
      <c r="D13" s="157"/>
      <c r="E13" s="158"/>
      <c r="H13" s="71"/>
      <c r="I13" s="71"/>
      <c r="J13" s="71"/>
    </row>
    <row r="14" spans="1:12" ht="12" thickBot="1">
      <c r="A14" s="139" t="s">
        <v>147</v>
      </c>
      <c r="B14" s="896">
        <v>3</v>
      </c>
      <c r="C14" s="1136"/>
      <c r="D14" s="1137"/>
      <c r="E14" s="1138"/>
      <c r="H14" s="71"/>
      <c r="I14" s="71"/>
      <c r="J14" s="71"/>
    </row>
    <row r="15" spans="1:12">
      <c r="A15" s="61" t="s">
        <v>62</v>
      </c>
      <c r="B15" s="897">
        <f>IF(B5=25,IF(B3&lt;0.806,2,IF(B3&lt;1.3,3,IF(B3&lt;1.801,4,IF(B3&lt;2.301,5,IF(B3&lt;2.801,6,7))))),IF(B3&lt;=0.55,2,IF(B3&lt;=0.9,3,IF(B3&lt;=1.25,4,IF(B3&lt;=1.6,5,IF(B3&lt;=1.95,6,7))))))</f>
        <v>7</v>
      </c>
      <c r="C15" s="1139" t="s">
        <v>29</v>
      </c>
      <c r="D15" s="1140"/>
      <c r="E15" s="1141"/>
      <c r="G15" s="73"/>
      <c r="H15" s="71"/>
      <c r="I15" s="71"/>
      <c r="J15" s="71"/>
    </row>
    <row r="16" spans="1:12" ht="12" thickBot="1">
      <c r="H16" s="71"/>
      <c r="I16" s="71"/>
      <c r="J16" s="71"/>
    </row>
    <row r="17" spans="1:10" ht="13.5" thickBot="1">
      <c r="A17" s="62" t="s">
        <v>7</v>
      </c>
      <c r="B17" s="63" t="s">
        <v>0</v>
      </c>
      <c r="C17" s="64" t="s">
        <v>4</v>
      </c>
      <c r="D17" s="65" t="s">
        <v>8</v>
      </c>
      <c r="H17" s="71"/>
      <c r="I17" s="71"/>
      <c r="J17" s="71"/>
    </row>
    <row r="18" spans="1:10">
      <c r="A18" s="78" t="s">
        <v>65</v>
      </c>
      <c r="B18" s="79">
        <f>(IF(B15=2,((B4+0.3)*2),IF(B15=3,((B4+0.3)*2),IF(B15=4,((B4+0.3)*4),IF(B15=5,((B4+0.3)*3),((B4+0.3)*4))))))*B11</f>
        <v>5.2</v>
      </c>
      <c r="C18" s="898">
        <v>9</v>
      </c>
      <c r="D18" s="149">
        <f t="shared" ref="D18:D47" si="0">B18*C18</f>
        <v>46.800000000000004</v>
      </c>
      <c r="H18" s="71"/>
      <c r="I18" s="71"/>
      <c r="J18" s="71"/>
    </row>
    <row r="19" spans="1:10">
      <c r="A19" s="80" t="s">
        <v>66</v>
      </c>
      <c r="B19" s="82">
        <f>IF(B8=1,2*B11,0)</f>
        <v>0</v>
      </c>
      <c r="C19" s="839"/>
      <c r="D19" s="66">
        <f t="shared" si="0"/>
        <v>0</v>
      </c>
    </row>
    <row r="20" spans="1:10">
      <c r="A20" s="80" t="s">
        <v>67</v>
      </c>
      <c r="B20" s="82">
        <f>B15*B11</f>
        <v>7</v>
      </c>
      <c r="C20" s="839"/>
      <c r="D20" s="66">
        <f t="shared" si="0"/>
        <v>0</v>
      </c>
    </row>
    <row r="21" spans="1:10">
      <c r="A21" s="161" t="s">
        <v>158</v>
      </c>
      <c r="B21" s="82">
        <f>B15*B11</f>
        <v>7</v>
      </c>
      <c r="C21" s="839"/>
      <c r="D21" s="66">
        <f t="shared" si="0"/>
        <v>0</v>
      </c>
    </row>
    <row r="22" spans="1:10">
      <c r="A22" s="80" t="s">
        <v>68</v>
      </c>
      <c r="B22" s="82">
        <f>(B3-0.002)*B11</f>
        <v>2.9980000000000002</v>
      </c>
      <c r="C22" s="839"/>
      <c r="D22" s="66">
        <f t="shared" si="0"/>
        <v>0</v>
      </c>
    </row>
    <row r="23" spans="1:10">
      <c r="A23" s="83" t="s">
        <v>69</v>
      </c>
      <c r="B23" s="82">
        <f>B22</f>
        <v>2.9980000000000002</v>
      </c>
      <c r="C23" s="839"/>
      <c r="D23" s="66">
        <f t="shared" si="0"/>
        <v>0</v>
      </c>
    </row>
    <row r="24" spans="1:10">
      <c r="A24" s="83" t="s">
        <v>70</v>
      </c>
      <c r="B24" s="82">
        <f>IF(B5=16,B11*B15,0)</f>
        <v>0</v>
      </c>
      <c r="C24" s="839"/>
      <c r="D24" s="66">
        <f t="shared" si="0"/>
        <v>0</v>
      </c>
      <c r="G24" s="73"/>
    </row>
    <row r="25" spans="1:10">
      <c r="A25" s="83" t="s">
        <v>71</v>
      </c>
      <c r="B25" s="82">
        <f>IF(B5=25,B11*B15,0)</f>
        <v>7</v>
      </c>
      <c r="C25" s="839"/>
      <c r="D25" s="66">
        <f>B25*C25</f>
        <v>0</v>
      </c>
      <c r="G25" s="73"/>
    </row>
    <row r="26" spans="1:10">
      <c r="A26" s="83" t="s">
        <v>72</v>
      </c>
      <c r="B26" s="82">
        <f>(IF(B3&lt;1.5,2,IF(B3&lt;1.8,3,IF(B3&lt;2.3,4,IF(B3&lt;2.8,5,6)))))*B11</f>
        <v>6</v>
      </c>
      <c r="C26" s="839"/>
      <c r="D26" s="66">
        <f t="shared" si="0"/>
        <v>0</v>
      </c>
    </row>
    <row r="27" spans="1:10">
      <c r="A27" s="83" t="s">
        <v>73</v>
      </c>
      <c r="B27" s="82">
        <f>(IF(B9=0,0,IF(B3&lt;1.5,2,IF(B3&lt;1.8,3,IF(B3&lt;2.3,4,IF(B3&lt;2.8,5,6))))))*B11</f>
        <v>6</v>
      </c>
      <c r="C27" s="839"/>
      <c r="D27" s="66">
        <f t="shared" si="0"/>
        <v>0</v>
      </c>
    </row>
    <row r="28" spans="1:10">
      <c r="A28" s="84" t="s">
        <v>74</v>
      </c>
      <c r="B28" s="74">
        <f>2*B11</f>
        <v>2</v>
      </c>
      <c r="C28" s="839"/>
      <c r="D28" s="66">
        <f t="shared" si="0"/>
        <v>0</v>
      </c>
    </row>
    <row r="29" spans="1:10">
      <c r="A29" s="84" t="s">
        <v>75</v>
      </c>
      <c r="B29" s="74">
        <f>B28</f>
        <v>2</v>
      </c>
      <c r="C29" s="839"/>
      <c r="D29" s="66">
        <f t="shared" si="0"/>
        <v>0</v>
      </c>
    </row>
    <row r="30" spans="1:10">
      <c r="A30" s="162" t="s">
        <v>517</v>
      </c>
      <c r="B30" s="74">
        <f>(IF(B5=25,IF(B9=1,CEILING(((B4-0.025)/0.0215)*B3,1)+B3*2,CEILING(((B4-0.025)/0.0215)*B3,1)),IF(B9=1,CEILING(((B4-0.025)/0.0125)*B3,1)+B3*2,CEILING(((B4-0.025)/0.0125)*B3,1)))+0.2)*B11</f>
        <v>143.19999999999999</v>
      </c>
      <c r="C30" s="839"/>
      <c r="D30" s="66">
        <f t="shared" si="0"/>
        <v>0</v>
      </c>
    </row>
    <row r="31" spans="1:10">
      <c r="A31" s="85" t="s">
        <v>76</v>
      </c>
      <c r="B31" s="74">
        <f>IF(B5=16,(B15*(B4+0.12))*B11,0)</f>
        <v>0</v>
      </c>
      <c r="C31" s="839"/>
      <c r="D31" s="66">
        <f t="shared" si="0"/>
        <v>0</v>
      </c>
      <c r="G31" s="73"/>
    </row>
    <row r="32" spans="1:10">
      <c r="A32" s="84" t="s">
        <v>77</v>
      </c>
      <c r="B32" s="74">
        <f>IF(B5=25,(B15*(B4+0.3))*B11,0)</f>
        <v>9.1</v>
      </c>
      <c r="C32" s="839"/>
      <c r="D32" s="66">
        <f t="shared" si="0"/>
        <v>0</v>
      </c>
      <c r="G32" s="73"/>
    </row>
    <row r="33" spans="1:5">
      <c r="A33" s="162" t="s">
        <v>159</v>
      </c>
      <c r="B33" s="74">
        <f>(B3)*B11</f>
        <v>3</v>
      </c>
      <c r="C33" s="839"/>
      <c r="D33" s="66">
        <f t="shared" si="0"/>
        <v>0</v>
      </c>
    </row>
    <row r="34" spans="1:5">
      <c r="A34" s="162" t="s">
        <v>166</v>
      </c>
      <c r="B34" s="74">
        <f>IF(B10&gt;0,(IF(B3&lt;1.5,2,IF(B3&lt;1.8,3,IF(B3&lt;2.3,4,IF(B3&lt;2.8,5,6)))))*B10,0)</f>
        <v>6</v>
      </c>
      <c r="C34" s="839"/>
      <c r="D34" s="159">
        <f>B34*C34</f>
        <v>0</v>
      </c>
    </row>
    <row r="35" spans="1:5">
      <c r="A35" s="162" t="s">
        <v>167</v>
      </c>
      <c r="B35" s="74">
        <f>B11-B12</f>
        <v>0</v>
      </c>
      <c r="C35" s="839"/>
      <c r="D35" s="159">
        <f>B35*C35</f>
        <v>0</v>
      </c>
    </row>
    <row r="36" spans="1:5">
      <c r="A36" s="162" t="s">
        <v>233</v>
      </c>
      <c r="B36" s="74">
        <f>B12</f>
        <v>1</v>
      </c>
      <c r="C36" s="839"/>
      <c r="D36" s="159">
        <f>B36*C36</f>
        <v>0</v>
      </c>
    </row>
    <row r="37" spans="1:5">
      <c r="A37" s="162" t="s">
        <v>169</v>
      </c>
      <c r="B37" s="74">
        <f>B11-B12</f>
        <v>0</v>
      </c>
      <c r="C37" s="839"/>
      <c r="D37" s="159">
        <f>B37*C37</f>
        <v>0</v>
      </c>
    </row>
    <row r="38" spans="1:5">
      <c r="A38" s="161" t="s">
        <v>160</v>
      </c>
      <c r="B38" s="74">
        <f>B15*B11</f>
        <v>7</v>
      </c>
      <c r="C38" s="839"/>
      <c r="D38" s="66">
        <f t="shared" si="0"/>
        <v>0</v>
      </c>
    </row>
    <row r="39" spans="1:5">
      <c r="A39" s="161" t="s">
        <v>170</v>
      </c>
      <c r="B39" s="74">
        <f>B11*2+(B11-B12)*2</f>
        <v>2</v>
      </c>
      <c r="C39" s="839"/>
      <c r="D39" s="66">
        <f t="shared" si="0"/>
        <v>0</v>
      </c>
    </row>
    <row r="40" spans="1:5">
      <c r="A40" s="161" t="s">
        <v>171</v>
      </c>
      <c r="B40" s="74">
        <f>B11*2</f>
        <v>2</v>
      </c>
      <c r="C40" s="839"/>
      <c r="D40" s="159">
        <f>B40*C40</f>
        <v>0</v>
      </c>
    </row>
    <row r="41" spans="1:5">
      <c r="A41" s="133" t="s">
        <v>163</v>
      </c>
      <c r="B41" s="74">
        <f>B13</f>
        <v>2</v>
      </c>
      <c r="C41" s="839"/>
      <c r="D41" s="159">
        <f>B41*C41</f>
        <v>0</v>
      </c>
    </row>
    <row r="42" spans="1:5">
      <c r="A42" s="133" t="s">
        <v>172</v>
      </c>
      <c r="B42" s="75">
        <f>B11</f>
        <v>1</v>
      </c>
      <c r="C42" s="899"/>
      <c r="D42" s="159">
        <f>B42*C42</f>
        <v>0</v>
      </c>
    </row>
    <row r="43" spans="1:5" ht="12" thickBot="1">
      <c r="A43" s="30" t="s">
        <v>173</v>
      </c>
      <c r="B43" s="160">
        <f>B14</f>
        <v>3</v>
      </c>
      <c r="C43" s="900"/>
      <c r="D43" s="159">
        <f>B43*C43</f>
        <v>0</v>
      </c>
    </row>
    <row r="44" spans="1:5" ht="12.75" customHeight="1">
      <c r="A44" s="86" t="s">
        <v>78</v>
      </c>
      <c r="B44" s="76">
        <f>IF(B6=1,4*B11,0)</f>
        <v>0</v>
      </c>
      <c r="C44" s="901"/>
      <c r="D44" s="68">
        <f t="shared" si="0"/>
        <v>0</v>
      </c>
      <c r="E44" s="1130" t="s">
        <v>54</v>
      </c>
    </row>
    <row r="45" spans="1:5" ht="13.5" customHeight="1">
      <c r="A45" s="84" t="s">
        <v>79</v>
      </c>
      <c r="B45" s="74">
        <f>IF(B7=1,0,IF(B6=1,2*B11,0))</f>
        <v>0</v>
      </c>
      <c r="C45" s="839"/>
      <c r="D45" s="67">
        <f t="shared" si="0"/>
        <v>0</v>
      </c>
      <c r="E45" s="1131"/>
    </row>
    <row r="46" spans="1:5">
      <c r="A46" s="84" t="s">
        <v>80</v>
      </c>
      <c r="B46" s="74">
        <f>IF(B6=1,B11*2,0)</f>
        <v>0</v>
      </c>
      <c r="C46" s="839"/>
      <c r="D46" s="67">
        <f t="shared" si="0"/>
        <v>0</v>
      </c>
      <c r="E46" s="1131"/>
    </row>
    <row r="47" spans="1:5" ht="14.25" customHeight="1" thickBot="1">
      <c r="A47" s="87" t="s">
        <v>81</v>
      </c>
      <c r="B47" s="75">
        <f>IF(B6=1,(B4*2+0.2)*B11,0)</f>
        <v>0</v>
      </c>
      <c r="C47" s="899"/>
      <c r="D47" s="67">
        <f t="shared" si="0"/>
        <v>0</v>
      </c>
      <c r="E47" s="1132"/>
    </row>
    <row r="48" spans="1:5">
      <c r="A48" s="86" t="s">
        <v>82</v>
      </c>
      <c r="B48" s="76">
        <f>IF(B7=1,2*B11,0)</f>
        <v>0</v>
      </c>
      <c r="C48" s="901"/>
      <c r="D48" s="69">
        <f>B48*C48</f>
        <v>0</v>
      </c>
      <c r="E48" s="1130" t="s">
        <v>58</v>
      </c>
    </row>
    <row r="49" spans="1:5">
      <c r="A49" s="84" t="s">
        <v>83</v>
      </c>
      <c r="B49" s="74">
        <f>IF(B7=1,IF(B6=1,2*B11,0),0)</f>
        <v>0</v>
      </c>
      <c r="C49" s="839"/>
      <c r="D49" s="150">
        <f>B49*C49</f>
        <v>0</v>
      </c>
      <c r="E49" s="1131"/>
    </row>
    <row r="50" spans="1:5">
      <c r="A50" s="84" t="s">
        <v>64</v>
      </c>
      <c r="B50" s="74">
        <f>B48</f>
        <v>0</v>
      </c>
      <c r="C50" s="839"/>
      <c r="D50" s="150">
        <f>B50*C50</f>
        <v>0</v>
      </c>
      <c r="E50" s="1131"/>
    </row>
    <row r="51" spans="1:5" ht="12" thickBot="1">
      <c r="A51" s="88" t="s">
        <v>63</v>
      </c>
      <c r="B51" s="77">
        <f>IF(B7=1,B11,0)</f>
        <v>0</v>
      </c>
      <c r="C51" s="902"/>
      <c r="D51" s="70">
        <f>B51*C51</f>
        <v>0</v>
      </c>
      <c r="E51" s="1132"/>
    </row>
    <row r="52" spans="1:5">
      <c r="C52" s="3" t="s">
        <v>9</v>
      </c>
      <c r="D52" s="3">
        <f>SUM(D18:D39)</f>
        <v>46.800000000000004</v>
      </c>
    </row>
  </sheetData>
  <sheetProtection algorithmName="SHA-512" hashValue="wj2zqT6iYxBeUIIpD8B58Aq6Ax2v8X03PjkWh5PV3YE25qcSHQckYZDYVAnOgg14etGdoiTHeq84n5SRcxImaA==" saltValue="zxedzpkY36GmyLSCU7h12Q==" spinCount="100000" sheet="1" objects="1" scenarios="1"/>
  <mergeCells count="16">
    <mergeCell ref="G2:L3"/>
    <mergeCell ref="C6:E6"/>
    <mergeCell ref="C7:E7"/>
    <mergeCell ref="E48:E51"/>
    <mergeCell ref="A1:E1"/>
    <mergeCell ref="A2:E2"/>
    <mergeCell ref="C3:E3"/>
    <mergeCell ref="C4:E4"/>
    <mergeCell ref="E44:E47"/>
    <mergeCell ref="C8:E8"/>
    <mergeCell ref="C5:E5"/>
    <mergeCell ref="C14:E14"/>
    <mergeCell ref="C9:E9"/>
    <mergeCell ref="C15:E15"/>
    <mergeCell ref="C11:E11"/>
    <mergeCell ref="C10:E10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J43"/>
  <sheetViews>
    <sheetView zoomScale="115" workbookViewId="0">
      <selection activeCell="G34" sqref="G34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3.83203125" customWidth="1"/>
    <col min="7" max="7" width="40.5" bestFit="1" customWidth="1"/>
  </cols>
  <sheetData>
    <row r="1" spans="1:10" ht="27" thickBot="1">
      <c r="A1" s="1053" t="s">
        <v>84</v>
      </c>
      <c r="B1" s="1054"/>
      <c r="C1" s="1054"/>
      <c r="D1" s="1076"/>
    </row>
    <row r="2" spans="1:10" ht="15" thickBot="1">
      <c r="A2" s="1077" t="s">
        <v>3</v>
      </c>
      <c r="B2" s="1078"/>
      <c r="C2" s="1078"/>
      <c r="D2" s="1079"/>
    </row>
    <row r="3" spans="1:10">
      <c r="A3" s="45" t="s">
        <v>6</v>
      </c>
      <c r="B3" s="885">
        <v>0.82</v>
      </c>
      <c r="C3" s="1055" t="s">
        <v>30</v>
      </c>
      <c r="D3" s="1056"/>
    </row>
    <row r="4" spans="1:10">
      <c r="A4" s="46" t="s">
        <v>1</v>
      </c>
      <c r="B4" s="891">
        <v>1.42</v>
      </c>
      <c r="C4" s="1133" t="s">
        <v>30</v>
      </c>
      <c r="D4" s="1129"/>
    </row>
    <row r="5" spans="1:10">
      <c r="A5" s="46" t="s">
        <v>55</v>
      </c>
      <c r="B5" s="891">
        <v>1</v>
      </c>
      <c r="C5" s="1127" t="s">
        <v>33</v>
      </c>
      <c r="D5" s="1129"/>
      <c r="G5" s="71"/>
      <c r="H5" s="71"/>
      <c r="I5" s="71"/>
    </row>
    <row r="6" spans="1:10">
      <c r="A6" s="47" t="s">
        <v>56</v>
      </c>
      <c r="B6" s="894">
        <v>1</v>
      </c>
      <c r="C6" s="1125" t="s">
        <v>33</v>
      </c>
      <c r="D6" s="1126"/>
      <c r="G6" s="72"/>
      <c r="H6" s="71"/>
      <c r="I6" s="71"/>
    </row>
    <row r="7" spans="1:10">
      <c r="A7" s="47" t="s">
        <v>57</v>
      </c>
      <c r="B7" s="893">
        <v>1</v>
      </c>
      <c r="C7" s="1127" t="s">
        <v>33</v>
      </c>
      <c r="D7" s="1129"/>
      <c r="G7" s="71"/>
      <c r="H7" s="71"/>
      <c r="I7" s="71"/>
    </row>
    <row r="8" spans="1:10">
      <c r="A8" s="173" t="s">
        <v>53</v>
      </c>
      <c r="B8" s="903">
        <v>25</v>
      </c>
      <c r="C8" s="1152" t="s">
        <v>30</v>
      </c>
      <c r="D8" s="1153"/>
      <c r="G8" s="71"/>
      <c r="H8" s="71"/>
      <c r="I8" s="71"/>
    </row>
    <row r="9" spans="1:10">
      <c r="A9" s="172" t="s">
        <v>157</v>
      </c>
      <c r="B9" s="904">
        <v>1</v>
      </c>
      <c r="C9" s="174"/>
      <c r="D9" s="174"/>
      <c r="E9" s="170"/>
      <c r="H9" s="71"/>
      <c r="I9" s="71"/>
      <c r="J9" s="71"/>
    </row>
    <row r="10" spans="1:10">
      <c r="A10" s="152" t="s">
        <v>144</v>
      </c>
      <c r="B10" s="895">
        <v>2</v>
      </c>
      <c r="C10" s="157"/>
      <c r="D10" s="157"/>
      <c r="E10" s="170"/>
      <c r="H10" s="71"/>
      <c r="I10" s="71"/>
      <c r="J10" s="71"/>
    </row>
    <row r="11" spans="1:10" ht="12" thickBot="1">
      <c r="A11" s="139" t="s">
        <v>147</v>
      </c>
      <c r="B11" s="896">
        <v>3</v>
      </c>
      <c r="C11" s="168"/>
      <c r="D11" s="169"/>
      <c r="E11" s="171"/>
      <c r="H11" s="71"/>
      <c r="I11" s="71"/>
      <c r="J11" s="71"/>
    </row>
    <row r="12" spans="1:10">
      <c r="A12" s="91" t="s">
        <v>87</v>
      </c>
      <c r="B12" s="905">
        <f>IF(B3&lt;=0.69,2,IF(B3&lt;=1.08,3,IF(B3&lt;=1.47,4,IF(B3&lt;=1.86,5,6))))</f>
        <v>3</v>
      </c>
      <c r="C12" s="1092" t="s">
        <v>29</v>
      </c>
      <c r="D12" s="1092"/>
      <c r="F12" s="73"/>
      <c r="G12" s="71"/>
      <c r="H12" s="71"/>
      <c r="I12" s="71"/>
    </row>
    <row r="13" spans="1:10">
      <c r="A13" s="91" t="s">
        <v>86</v>
      </c>
      <c r="B13" s="905">
        <f>IF(B12=2,2,IF(B12=3,2,IF(B12=4,4,IF(B12=5,3,4))))</f>
        <v>2</v>
      </c>
      <c r="C13" s="1092" t="s">
        <v>29</v>
      </c>
      <c r="D13" s="1092"/>
      <c r="G13" s="71"/>
      <c r="H13" s="71"/>
      <c r="I13" s="71"/>
    </row>
    <row r="14" spans="1:10" ht="12" thickBot="1">
      <c r="A14" s="1150"/>
      <c r="B14" s="1151"/>
      <c r="C14" s="1151"/>
      <c r="D14" s="1151"/>
      <c r="G14" s="71"/>
      <c r="H14" s="71"/>
      <c r="I14" s="71"/>
    </row>
    <row r="15" spans="1:10" ht="12.75">
      <c r="A15" s="62" t="s">
        <v>7</v>
      </c>
      <c r="B15" s="63" t="s">
        <v>0</v>
      </c>
      <c r="C15" s="64" t="s">
        <v>4</v>
      </c>
      <c r="D15" s="65" t="s">
        <v>8</v>
      </c>
      <c r="G15" s="71"/>
      <c r="H15" s="71"/>
      <c r="I15" s="71"/>
    </row>
    <row r="16" spans="1:10">
      <c r="A16" s="80" t="s">
        <v>92</v>
      </c>
      <c r="B16" s="81">
        <f>(B4+0.3)*B13</f>
        <v>3.44</v>
      </c>
      <c r="C16" s="842">
        <v>9</v>
      </c>
      <c r="D16" s="1">
        <f t="shared" ref="D16:D42" si="0">B16*C16</f>
        <v>30.96</v>
      </c>
      <c r="G16" s="71"/>
      <c r="H16" s="71"/>
      <c r="I16" s="71"/>
    </row>
    <row r="17" spans="1:6">
      <c r="A17" s="80" t="s">
        <v>66</v>
      </c>
      <c r="B17" s="82">
        <f>IF(B6=1,2*B8,0)</f>
        <v>50</v>
      </c>
      <c r="C17" s="839"/>
      <c r="D17" s="66">
        <f t="shared" si="0"/>
        <v>0</v>
      </c>
    </row>
    <row r="18" spans="1:6">
      <c r="A18" s="80" t="s">
        <v>98</v>
      </c>
      <c r="B18" s="82">
        <f>B12*B8</f>
        <v>75</v>
      </c>
      <c r="C18" s="839"/>
      <c r="D18" s="66">
        <f t="shared" si="0"/>
        <v>0</v>
      </c>
    </row>
    <row r="19" spans="1:6">
      <c r="A19" s="161" t="s">
        <v>158</v>
      </c>
      <c r="B19" s="82">
        <f>B12*B8</f>
        <v>75</v>
      </c>
      <c r="C19" s="839"/>
      <c r="D19" s="66">
        <f t="shared" si="0"/>
        <v>0</v>
      </c>
    </row>
    <row r="20" spans="1:6">
      <c r="A20" s="161" t="s">
        <v>174</v>
      </c>
      <c r="B20" s="82">
        <f>((IF(B3&lt;1.5,2,3))*B8)</f>
        <v>50</v>
      </c>
      <c r="C20" s="839"/>
      <c r="D20" s="159">
        <f t="shared" si="0"/>
        <v>0</v>
      </c>
    </row>
    <row r="21" spans="1:6">
      <c r="A21" s="161" t="s">
        <v>175</v>
      </c>
      <c r="B21" s="82">
        <f>((IF(B3&lt;1.5,2,3))*B8)</f>
        <v>50</v>
      </c>
      <c r="C21" s="839"/>
      <c r="D21" s="159">
        <f t="shared" si="0"/>
        <v>0</v>
      </c>
    </row>
    <row r="22" spans="1:6">
      <c r="A22" s="161" t="s">
        <v>176</v>
      </c>
      <c r="B22" s="82">
        <f>((IF(B3&lt;1.5,2,3))*B8)</f>
        <v>50</v>
      </c>
      <c r="C22" s="839"/>
      <c r="D22" s="66">
        <f t="shared" si="0"/>
        <v>0</v>
      </c>
    </row>
    <row r="23" spans="1:6">
      <c r="A23" s="80" t="s">
        <v>68</v>
      </c>
      <c r="B23" s="82">
        <f>B3*B8</f>
        <v>20.5</v>
      </c>
      <c r="C23" s="839"/>
      <c r="D23" s="66">
        <f t="shared" si="0"/>
        <v>0</v>
      </c>
    </row>
    <row r="24" spans="1:6">
      <c r="A24" s="83" t="s">
        <v>94</v>
      </c>
      <c r="B24" s="82">
        <f>B12*B8</f>
        <v>75</v>
      </c>
      <c r="C24" s="839"/>
      <c r="D24" s="66">
        <f t="shared" si="0"/>
        <v>0</v>
      </c>
      <c r="F24" s="73"/>
    </row>
    <row r="25" spans="1:6">
      <c r="A25" s="83" t="s">
        <v>95</v>
      </c>
      <c r="B25" s="82">
        <f>2*B8</f>
        <v>50</v>
      </c>
      <c r="C25" s="839"/>
      <c r="D25" s="66">
        <f t="shared" si="0"/>
        <v>0</v>
      </c>
    </row>
    <row r="26" spans="1:6">
      <c r="A26" s="83" t="s">
        <v>96</v>
      </c>
      <c r="B26" s="175">
        <f>(IF(B3&lt;0.61,0,IF(B3&lt;1.01,1,IF(B3&lt;1.5,2,IF(B3&lt;1.8,3,4)))))*B8</f>
        <v>25</v>
      </c>
      <c r="C26" s="839"/>
      <c r="D26" s="66">
        <f t="shared" si="0"/>
        <v>0</v>
      </c>
    </row>
    <row r="27" spans="1:6">
      <c r="A27" s="84" t="s">
        <v>97</v>
      </c>
      <c r="B27" s="74">
        <f>2*B8</f>
        <v>50</v>
      </c>
      <c r="C27" s="839"/>
      <c r="D27" s="66">
        <f t="shared" si="0"/>
        <v>0</v>
      </c>
    </row>
    <row r="28" spans="1:6">
      <c r="A28" s="84" t="s">
        <v>93</v>
      </c>
      <c r="B28" s="74">
        <f>B12*(B4+0.3)*B8</f>
        <v>129</v>
      </c>
      <c r="C28" s="839"/>
      <c r="D28" s="66">
        <f t="shared" si="0"/>
        <v>0</v>
      </c>
      <c r="F28" s="73"/>
    </row>
    <row r="29" spans="1:6">
      <c r="A29" s="162" t="s">
        <v>159</v>
      </c>
      <c r="B29" s="74">
        <f>B3*B8</f>
        <v>20.5</v>
      </c>
      <c r="C29" s="839"/>
      <c r="D29" s="66">
        <f t="shared" si="0"/>
        <v>0</v>
      </c>
    </row>
    <row r="30" spans="1:6">
      <c r="A30" s="162" t="s">
        <v>167</v>
      </c>
      <c r="B30" s="74">
        <f>B8-B9</f>
        <v>24</v>
      </c>
      <c r="C30" s="839"/>
      <c r="D30" s="159">
        <f t="shared" si="0"/>
        <v>0</v>
      </c>
    </row>
    <row r="31" spans="1:6">
      <c r="A31" s="162" t="s">
        <v>233</v>
      </c>
      <c r="B31" s="74">
        <f>B9</f>
        <v>1</v>
      </c>
      <c r="C31" s="839"/>
      <c r="D31" s="159">
        <f t="shared" si="0"/>
        <v>0</v>
      </c>
    </row>
    <row r="32" spans="1:6">
      <c r="A32" s="162" t="s">
        <v>169</v>
      </c>
      <c r="B32" s="74">
        <f>B8-B9</f>
        <v>24</v>
      </c>
      <c r="C32" s="839"/>
      <c r="D32" s="159">
        <f t="shared" ref="D32:D38" si="1">B32*C32</f>
        <v>0</v>
      </c>
    </row>
    <row r="33" spans="1:4">
      <c r="A33" s="161" t="s">
        <v>160</v>
      </c>
      <c r="B33" s="74">
        <f>B12*B8</f>
        <v>75</v>
      </c>
      <c r="C33" s="839"/>
      <c r="D33" s="159">
        <f t="shared" si="1"/>
        <v>0</v>
      </c>
    </row>
    <row r="34" spans="1:4">
      <c r="A34" s="161" t="s">
        <v>170</v>
      </c>
      <c r="B34" s="74">
        <f>B8*2+(B8-B9)*2</f>
        <v>98</v>
      </c>
      <c r="C34" s="839"/>
      <c r="D34" s="159">
        <f t="shared" si="1"/>
        <v>0</v>
      </c>
    </row>
    <row r="35" spans="1:4">
      <c r="A35" s="161" t="s">
        <v>171</v>
      </c>
      <c r="B35" s="74">
        <f>B8*2</f>
        <v>50</v>
      </c>
      <c r="C35" s="839"/>
      <c r="D35" s="159">
        <f t="shared" si="1"/>
        <v>0</v>
      </c>
    </row>
    <row r="36" spans="1:4">
      <c r="A36" s="133" t="s">
        <v>163</v>
      </c>
      <c r="B36" s="74">
        <f>B10</f>
        <v>2</v>
      </c>
      <c r="C36" s="839"/>
      <c r="D36" s="159">
        <f t="shared" si="1"/>
        <v>0</v>
      </c>
    </row>
    <row r="37" spans="1:4">
      <c r="A37" s="133" t="s">
        <v>172</v>
      </c>
      <c r="B37" s="75">
        <f>B8</f>
        <v>25</v>
      </c>
      <c r="C37" s="899"/>
      <c r="D37" s="159">
        <f t="shared" si="1"/>
        <v>0</v>
      </c>
    </row>
    <row r="38" spans="1:4" ht="12" thickBot="1">
      <c r="A38" s="30" t="s">
        <v>173</v>
      </c>
      <c r="B38" s="160">
        <f>B11</f>
        <v>3</v>
      </c>
      <c r="C38" s="900"/>
      <c r="D38" s="159">
        <f t="shared" si="1"/>
        <v>0</v>
      </c>
    </row>
    <row r="39" spans="1:4" ht="12" thickBot="1">
      <c r="A39" s="1148" t="s">
        <v>91</v>
      </c>
      <c r="B39" s="1149"/>
      <c r="C39" s="1149"/>
      <c r="D39" s="1149"/>
    </row>
    <row r="40" spans="1:4">
      <c r="A40" s="92" t="s">
        <v>88</v>
      </c>
      <c r="B40" s="54">
        <f>(ROUND((B4-0.025)/0.0215,0))*B8</f>
        <v>1625</v>
      </c>
      <c r="C40" s="898"/>
      <c r="D40" s="69">
        <f t="shared" si="0"/>
        <v>0</v>
      </c>
    </row>
    <row r="41" spans="1:4">
      <c r="A41" s="93" t="s">
        <v>89</v>
      </c>
      <c r="B41" s="55">
        <f>B8</f>
        <v>25</v>
      </c>
      <c r="C41" s="842"/>
      <c r="D41" s="66">
        <f t="shared" si="0"/>
        <v>0</v>
      </c>
    </row>
    <row r="42" spans="1:4" ht="12" thickBot="1">
      <c r="A42" s="94" t="s">
        <v>90</v>
      </c>
      <c r="B42" s="56">
        <f>B8</f>
        <v>25</v>
      </c>
      <c r="C42" s="900"/>
      <c r="D42" s="70">
        <f t="shared" si="0"/>
        <v>0</v>
      </c>
    </row>
    <row r="43" spans="1:4">
      <c r="C43" s="3" t="s">
        <v>9</v>
      </c>
      <c r="D43" s="3">
        <f>SUM(D16:D34)</f>
        <v>30.96</v>
      </c>
    </row>
  </sheetData>
  <sheetProtection algorithmName="SHA-512" hashValue="bjREU6/5etvygxxIxadFt/vPuusoOLcxqUD5xwijgFqi/MOSeBQtuEyRQWVQkZv5WtsGTxpxEe13+UinG5d4lg==" saltValue="QN8JMwctc2WD7Ie/jTB+Zg==" spinCount="100000" sheet="1" objects="1" scenarios="1"/>
  <mergeCells count="12">
    <mergeCell ref="A39:D39"/>
    <mergeCell ref="C13:D13"/>
    <mergeCell ref="A14:D14"/>
    <mergeCell ref="C12:D12"/>
    <mergeCell ref="C6:D6"/>
    <mergeCell ref="C7:D7"/>
    <mergeCell ref="C8:D8"/>
    <mergeCell ref="A1:D1"/>
    <mergeCell ref="A2:D2"/>
    <mergeCell ref="C3:D3"/>
    <mergeCell ref="C4:D4"/>
    <mergeCell ref="C5:D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K85"/>
  <sheetViews>
    <sheetView topLeftCell="A33" zoomScale="85" zoomScaleNormal="85" zoomScaleSheetLayoutView="100" workbookViewId="0">
      <selection activeCell="B73" sqref="B73"/>
    </sheetView>
  </sheetViews>
  <sheetFormatPr defaultRowHeight="11.25"/>
  <cols>
    <col min="1" max="1" width="60.1640625" customWidth="1"/>
    <col min="2" max="2" width="10" customWidth="1"/>
    <col min="3" max="3" width="11.1640625" customWidth="1"/>
    <col min="4" max="4" width="12.1640625" customWidth="1"/>
    <col min="5" max="5" width="35.1640625" customWidth="1"/>
    <col min="8" max="8" width="11.6640625" customWidth="1"/>
    <col min="11" max="11" width="11" customWidth="1"/>
  </cols>
  <sheetData>
    <row r="1" spans="1:11" ht="65.25" customHeight="1" thickBot="1">
      <c r="A1" s="1162" t="s">
        <v>890</v>
      </c>
      <c r="B1" s="1162"/>
      <c r="C1" s="1162"/>
      <c r="D1" s="1162"/>
    </row>
    <row r="2" spans="1:11" ht="11.25" customHeight="1">
      <c r="A2" s="110" t="s">
        <v>10</v>
      </c>
      <c r="B2" s="834">
        <v>1</v>
      </c>
      <c r="C2" s="1160" t="s">
        <v>30</v>
      </c>
      <c r="D2" s="1161"/>
      <c r="F2" s="1059" t="s">
        <v>122</v>
      </c>
      <c r="G2" s="1060"/>
      <c r="H2" s="1060"/>
      <c r="I2" s="1060"/>
      <c r="J2" s="1060"/>
      <c r="K2" s="1061"/>
    </row>
    <row r="3" spans="1:11" ht="12" thickBot="1">
      <c r="A3" s="112" t="s">
        <v>1</v>
      </c>
      <c r="B3" s="835">
        <v>1</v>
      </c>
      <c r="C3" s="1163" t="s">
        <v>30</v>
      </c>
      <c r="D3" s="1164"/>
      <c r="F3" s="1062"/>
      <c r="G3" s="1063"/>
      <c r="H3" s="1063"/>
      <c r="I3" s="1063"/>
      <c r="J3" s="1063"/>
      <c r="K3" s="1064"/>
    </row>
    <row r="4" spans="1:11">
      <c r="A4" s="122" t="s">
        <v>36</v>
      </c>
      <c r="B4" s="906">
        <v>2</v>
      </c>
      <c r="C4" s="1160" t="s">
        <v>870</v>
      </c>
      <c r="D4" s="1161" t="s">
        <v>871</v>
      </c>
      <c r="F4" s="121"/>
      <c r="G4" s="121"/>
      <c r="H4" s="121"/>
      <c r="I4" s="121"/>
      <c r="J4" s="121"/>
      <c r="K4" s="121"/>
    </row>
    <row r="5" spans="1:11">
      <c r="A5" s="111" t="s">
        <v>872</v>
      </c>
      <c r="B5" s="836">
        <v>0</v>
      </c>
      <c r="C5" s="1165" t="s">
        <v>30</v>
      </c>
      <c r="D5" s="1166"/>
    </row>
    <row r="6" spans="1:11" ht="13.5" customHeight="1" thickBot="1">
      <c r="A6" s="145" t="s">
        <v>873</v>
      </c>
      <c r="B6" s="907">
        <v>0</v>
      </c>
      <c r="C6" s="1163" t="s">
        <v>30</v>
      </c>
      <c r="D6" s="1164"/>
    </row>
    <row r="7" spans="1:11" ht="12" thickBot="1">
      <c r="A7" s="825" t="s">
        <v>874</v>
      </c>
      <c r="B7" s="908">
        <v>2</v>
      </c>
      <c r="C7" s="1155" t="s">
        <v>30</v>
      </c>
      <c r="D7" s="1156"/>
    </row>
    <row r="8" spans="1:11" ht="12" thickBot="1">
      <c r="A8" s="825" t="s">
        <v>875</v>
      </c>
      <c r="B8" s="908">
        <v>0</v>
      </c>
      <c r="C8" s="1155" t="s">
        <v>30</v>
      </c>
      <c r="D8" s="1156"/>
    </row>
    <row r="9" spans="1:11" ht="12" thickBot="1">
      <c r="A9" s="148" t="s">
        <v>876</v>
      </c>
      <c r="B9" s="909">
        <v>0</v>
      </c>
      <c r="C9" s="1155" t="s">
        <v>30</v>
      </c>
      <c r="D9" s="1156"/>
    </row>
    <row r="10" spans="1:11" ht="12" thickBot="1">
      <c r="A10" s="148" t="s">
        <v>877</v>
      </c>
      <c r="B10" s="909">
        <v>0</v>
      </c>
      <c r="C10" s="1155" t="s">
        <v>30</v>
      </c>
      <c r="D10" s="1156"/>
    </row>
    <row r="11" spans="1:11" ht="12.75">
      <c r="A11" s="932" t="s">
        <v>878</v>
      </c>
      <c r="B11" s="99">
        <v>0</v>
      </c>
      <c r="C11" s="119" t="s">
        <v>30</v>
      </c>
      <c r="D11" s="931"/>
      <c r="E11" s="5"/>
      <c r="F11" s="5"/>
      <c r="G11" s="5"/>
      <c r="H11" s="5"/>
      <c r="I11" s="5"/>
      <c r="J11" s="5"/>
      <c r="K11" s="5"/>
    </row>
    <row r="12" spans="1:11" ht="12.75">
      <c r="A12" s="935" t="s">
        <v>879</v>
      </c>
      <c r="B12" s="933">
        <v>0</v>
      </c>
      <c r="C12" s="934" t="s">
        <v>30</v>
      </c>
      <c r="D12" s="936"/>
    </row>
    <row r="13" spans="1:11">
      <c r="A13" s="6" t="s">
        <v>880</v>
      </c>
      <c r="B13" s="943">
        <v>0</v>
      </c>
      <c r="C13" s="854" t="s">
        <v>30</v>
      </c>
      <c r="D13" s="929"/>
    </row>
    <row r="14" spans="1:11">
      <c r="A14" s="6" t="s">
        <v>881</v>
      </c>
      <c r="B14" s="943">
        <v>0</v>
      </c>
      <c r="C14" s="854" t="s">
        <v>30</v>
      </c>
      <c r="D14" s="929"/>
      <c r="E14" s="71"/>
      <c r="F14" s="71"/>
    </row>
    <row r="15" spans="1:11">
      <c r="A15" s="6" t="s">
        <v>931</v>
      </c>
      <c r="B15" s="943">
        <v>1</v>
      </c>
      <c r="C15" s="854" t="s">
        <v>30</v>
      </c>
      <c r="D15" s="929"/>
      <c r="E15" s="71"/>
      <c r="F15" s="71"/>
    </row>
    <row r="16" spans="1:11">
      <c r="A16" s="7" t="s">
        <v>882</v>
      </c>
      <c r="B16" s="944">
        <v>0</v>
      </c>
      <c r="C16" s="854" t="s">
        <v>30</v>
      </c>
      <c r="D16" s="929"/>
    </row>
    <row r="17" spans="1:11">
      <c r="A17" s="6" t="s">
        <v>918</v>
      </c>
      <c r="B17" s="943">
        <v>1</v>
      </c>
      <c r="C17" s="854" t="s">
        <v>30</v>
      </c>
      <c r="D17" s="929"/>
    </row>
    <row r="18" spans="1:11">
      <c r="A18" s="7" t="s">
        <v>919</v>
      </c>
      <c r="B18" s="944">
        <v>0</v>
      </c>
      <c r="C18" s="854" t="s">
        <v>30</v>
      </c>
      <c r="D18" s="929"/>
    </row>
    <row r="19" spans="1:11">
      <c r="A19" s="6" t="s">
        <v>922</v>
      </c>
      <c r="B19" s="943">
        <v>0</v>
      </c>
      <c r="C19" s="854" t="s">
        <v>30</v>
      </c>
      <c r="D19" s="929"/>
    </row>
    <row r="20" spans="1:11">
      <c r="A20" s="6" t="s">
        <v>923</v>
      </c>
      <c r="B20" s="943">
        <v>0</v>
      </c>
      <c r="C20" s="854" t="s">
        <v>30</v>
      </c>
      <c r="D20" s="929"/>
    </row>
    <row r="21" spans="1:11">
      <c r="A21" s="7" t="s">
        <v>924</v>
      </c>
      <c r="B21" s="944">
        <v>0</v>
      </c>
      <c r="C21" s="854" t="s">
        <v>30</v>
      </c>
      <c r="D21" s="929"/>
    </row>
    <row r="22" spans="1:11">
      <c r="A22" s="6" t="s">
        <v>925</v>
      </c>
      <c r="B22" s="943">
        <v>0</v>
      </c>
      <c r="C22" s="854" t="s">
        <v>30</v>
      </c>
      <c r="D22" s="929"/>
    </row>
    <row r="23" spans="1:11">
      <c r="A23" s="7" t="s">
        <v>930</v>
      </c>
      <c r="B23" s="944">
        <v>0</v>
      </c>
      <c r="C23" s="854" t="s">
        <v>30</v>
      </c>
      <c r="D23" s="929"/>
    </row>
    <row r="24" spans="1:11">
      <c r="A24" s="6" t="s">
        <v>927</v>
      </c>
      <c r="B24" s="943">
        <v>0</v>
      </c>
      <c r="C24" s="854" t="s">
        <v>30</v>
      </c>
      <c r="D24" s="929"/>
      <c r="E24" s="71"/>
      <c r="F24" s="71"/>
    </row>
    <row r="25" spans="1:11">
      <c r="A25" s="7" t="s">
        <v>928</v>
      </c>
      <c r="B25" s="944">
        <v>0</v>
      </c>
      <c r="C25" s="854" t="s">
        <v>30</v>
      </c>
      <c r="D25" s="929"/>
    </row>
    <row r="26" spans="1:11">
      <c r="A26" s="6" t="s">
        <v>929</v>
      </c>
      <c r="B26" s="943">
        <v>0</v>
      </c>
      <c r="C26" s="854" t="s">
        <v>30</v>
      </c>
      <c r="D26" s="929"/>
    </row>
    <row r="27" spans="1:11">
      <c r="A27" s="7" t="s">
        <v>926</v>
      </c>
      <c r="B27" s="944">
        <v>0</v>
      </c>
      <c r="C27" s="854" t="s">
        <v>30</v>
      </c>
      <c r="D27" s="929"/>
    </row>
    <row r="28" spans="1:11">
      <c r="A28" s="6" t="s">
        <v>920</v>
      </c>
      <c r="B28" s="943">
        <v>1</v>
      </c>
      <c r="C28" s="854" t="s">
        <v>30</v>
      </c>
      <c r="D28" s="929"/>
    </row>
    <row r="29" spans="1:11">
      <c r="A29" s="7" t="s">
        <v>146</v>
      </c>
      <c r="B29" s="944">
        <v>1</v>
      </c>
      <c r="C29" s="854" t="s">
        <v>30</v>
      </c>
      <c r="D29" s="929"/>
    </row>
    <row r="30" spans="1:11" ht="12" thickBot="1">
      <c r="A30" s="867" t="s">
        <v>143</v>
      </c>
      <c r="B30" s="945">
        <v>1</v>
      </c>
      <c r="C30" s="910" t="s">
        <v>30</v>
      </c>
      <c r="D30" s="4"/>
    </row>
    <row r="31" spans="1:11" ht="12" thickBot="1">
      <c r="A31" s="865"/>
      <c r="B31" s="866"/>
      <c r="C31" s="911"/>
      <c r="D31" s="71"/>
    </row>
    <row r="32" spans="1:11" s="5" customFormat="1" ht="13.5" customHeight="1">
      <c r="A32" s="937" t="s">
        <v>5</v>
      </c>
      <c r="B32" s="938" t="s">
        <v>0</v>
      </c>
      <c r="C32" s="939" t="s">
        <v>4</v>
      </c>
      <c r="D32" s="940" t="s">
        <v>8</v>
      </c>
      <c r="E32"/>
      <c r="F32"/>
      <c r="G32"/>
      <c r="H32"/>
      <c r="I32"/>
      <c r="J32"/>
      <c r="K32"/>
    </row>
    <row r="33" spans="1:4">
      <c r="A33" s="7" t="s">
        <v>795</v>
      </c>
      <c r="B33" s="942">
        <f>IF(B11+B12=0,2*(B5+B6+B7+B8+B9+B10),2*((B5+B6+B7+B8+B9+B10)-(B11+B12)))</f>
        <v>4</v>
      </c>
      <c r="C33" s="855"/>
      <c r="D33" s="857">
        <f t="shared" ref="D33:D74" si="0">C33*B33</f>
        <v>0</v>
      </c>
    </row>
    <row r="34" spans="1:4">
      <c r="A34" s="7" t="s">
        <v>883</v>
      </c>
      <c r="B34" s="942">
        <f>2*(B11+B12)</f>
        <v>0</v>
      </c>
      <c r="C34" s="855"/>
      <c r="D34" s="857">
        <f t="shared" si="0"/>
        <v>0</v>
      </c>
    </row>
    <row r="35" spans="1:4">
      <c r="A35" s="7" t="s">
        <v>898</v>
      </c>
      <c r="B35" s="942">
        <f>B36*4+B37*4</f>
        <v>0</v>
      </c>
      <c r="C35" s="855"/>
      <c r="D35" s="929">
        <f t="shared" si="0"/>
        <v>0</v>
      </c>
    </row>
    <row r="36" spans="1:4">
      <c r="A36" s="7" t="s">
        <v>884</v>
      </c>
      <c r="B36" s="942">
        <f>B12</f>
        <v>0</v>
      </c>
      <c r="C36" s="855"/>
      <c r="D36" s="857">
        <f t="shared" si="0"/>
        <v>0</v>
      </c>
    </row>
    <row r="37" spans="1:4">
      <c r="A37" s="7" t="s">
        <v>885</v>
      </c>
      <c r="B37" s="942">
        <f>B11</f>
        <v>0</v>
      </c>
      <c r="C37" s="855"/>
      <c r="D37" s="857">
        <f t="shared" si="0"/>
        <v>0</v>
      </c>
    </row>
    <row r="38" spans="1:4">
      <c r="A38" s="6" t="s">
        <v>808</v>
      </c>
      <c r="B38" s="942">
        <f>(IF(B2&lt;=1,2,IF(B2&lt;=1.5,3,IF(B2&lt;=2,4,IF(B2&lt;=2.5,5,6)))))*(B8+B9+B10)</f>
        <v>0</v>
      </c>
      <c r="C38" s="855"/>
      <c r="D38" s="857">
        <f t="shared" si="0"/>
        <v>0</v>
      </c>
    </row>
    <row r="39" spans="1:4">
      <c r="A39" s="6" t="s">
        <v>899</v>
      </c>
      <c r="B39" s="942">
        <f>B6</f>
        <v>0</v>
      </c>
      <c r="C39" s="855"/>
      <c r="D39" s="857">
        <f t="shared" si="0"/>
        <v>0</v>
      </c>
    </row>
    <row r="40" spans="1:4" ht="12" customHeight="1">
      <c r="A40" s="52" t="s">
        <v>891</v>
      </c>
      <c r="B40" s="946">
        <f>B5</f>
        <v>0</v>
      </c>
      <c r="C40" s="912"/>
      <c r="D40" s="857">
        <f t="shared" si="0"/>
        <v>0</v>
      </c>
    </row>
    <row r="41" spans="1:4">
      <c r="A41" s="52" t="s">
        <v>895</v>
      </c>
      <c r="B41" s="946">
        <f>2*B8</f>
        <v>0</v>
      </c>
      <c r="C41" s="842"/>
      <c r="D41" s="857">
        <f t="shared" si="0"/>
        <v>0</v>
      </c>
    </row>
    <row r="42" spans="1:4">
      <c r="A42" s="52" t="s">
        <v>896</v>
      </c>
      <c r="B42" s="946">
        <f>2*(B9+B10)</f>
        <v>0</v>
      </c>
      <c r="C42" s="842"/>
      <c r="D42" s="857">
        <f t="shared" si="0"/>
        <v>0</v>
      </c>
    </row>
    <row r="43" spans="1:4">
      <c r="A43" s="52" t="s">
        <v>897</v>
      </c>
      <c r="B43" s="946">
        <f>B10+B9+B8</f>
        <v>0</v>
      </c>
      <c r="C43" s="842"/>
      <c r="D43" s="857">
        <f t="shared" si="0"/>
        <v>0</v>
      </c>
    </row>
    <row r="44" spans="1:4">
      <c r="A44" s="7" t="s">
        <v>119</v>
      </c>
      <c r="B44" s="946">
        <f>B2*(B5+B6+B7+B8+B9+B10)</f>
        <v>2</v>
      </c>
      <c r="C44" s="842"/>
      <c r="D44" s="857">
        <f t="shared" si="0"/>
        <v>0</v>
      </c>
    </row>
    <row r="45" spans="1:4">
      <c r="A45" s="52" t="s">
        <v>118</v>
      </c>
      <c r="B45" s="860">
        <f>B47</f>
        <v>1.9239999999999999</v>
      </c>
      <c r="C45" s="842"/>
      <c r="D45" s="857">
        <f t="shared" si="0"/>
        <v>0</v>
      </c>
    </row>
    <row r="46" spans="1:4">
      <c r="A46" s="52" t="s">
        <v>894</v>
      </c>
      <c r="B46" s="860">
        <f>(IF(B4=2,B2-0.005,B2+0.04))*(B10+B9+B8)</f>
        <v>0</v>
      </c>
      <c r="C46" s="842"/>
      <c r="D46" s="857">
        <f t="shared" si="0"/>
        <v>0</v>
      </c>
    </row>
    <row r="47" spans="1:4">
      <c r="A47" s="52" t="s">
        <v>797</v>
      </c>
      <c r="B47" s="860">
        <f>(IF(B4=2,B2-0.038,B2))*(B5+B6+B7+B8+B9+B10)</f>
        <v>1.9239999999999999</v>
      </c>
      <c r="C47" s="842"/>
      <c r="D47" s="857">
        <f t="shared" si="0"/>
        <v>0</v>
      </c>
    </row>
    <row r="48" spans="1:4">
      <c r="A48" s="52" t="s">
        <v>893</v>
      </c>
      <c r="B48" s="860">
        <f>4*(B8+B9+B10)</f>
        <v>0</v>
      </c>
      <c r="C48" s="842"/>
      <c r="D48" s="857">
        <f t="shared" si="0"/>
        <v>0</v>
      </c>
    </row>
    <row r="49" spans="1:8">
      <c r="A49" s="52" t="s">
        <v>900</v>
      </c>
      <c r="B49" s="860">
        <f>(2*B3+0.2)*(B11+B12)</f>
        <v>0</v>
      </c>
      <c r="C49" s="842"/>
      <c r="D49" s="857">
        <f t="shared" si="0"/>
        <v>0</v>
      </c>
    </row>
    <row r="50" spans="1:8">
      <c r="A50" s="52" t="s">
        <v>892</v>
      </c>
      <c r="B50" s="860">
        <f>(IF(B4=2,B2-0.035,B2+0.003))*(B5+B8)</f>
        <v>0</v>
      </c>
      <c r="C50" s="842"/>
      <c r="D50" s="857">
        <f t="shared" si="0"/>
        <v>0</v>
      </c>
    </row>
    <row r="51" spans="1:8">
      <c r="A51" s="6" t="s">
        <v>798</v>
      </c>
      <c r="B51" s="930">
        <f>(IF(B4=2,B2-0.035,B2+0.003))*(B6+B9)</f>
        <v>0</v>
      </c>
      <c r="C51" s="842"/>
      <c r="D51" s="857">
        <f t="shared" si="0"/>
        <v>0</v>
      </c>
    </row>
    <row r="52" spans="1:8">
      <c r="A52" s="52" t="s">
        <v>886</v>
      </c>
      <c r="B52" s="860">
        <f>(IF(B4=2,IF((B58+B60+B61)&gt;0,B2-0.04,B2-0.044),B2+0.003))*(B7+B10)</f>
        <v>1.92</v>
      </c>
      <c r="C52" s="842"/>
      <c r="D52" s="857">
        <f t="shared" si="0"/>
        <v>0</v>
      </c>
      <c r="E52" s="948"/>
    </row>
    <row r="53" spans="1:8">
      <c r="A53" s="52" t="s">
        <v>887</v>
      </c>
      <c r="B53" s="860">
        <f>4*(B11+B12)</f>
        <v>0</v>
      </c>
      <c r="C53" s="842"/>
      <c r="D53" s="857">
        <f t="shared" si="0"/>
        <v>0</v>
      </c>
      <c r="G53" s="1159"/>
      <c r="H53" s="1159"/>
    </row>
    <row r="54" spans="1:8">
      <c r="A54" s="52" t="s">
        <v>901</v>
      </c>
      <c r="B54" s="946">
        <f>B20+B24</f>
        <v>0</v>
      </c>
      <c r="C54" s="842"/>
      <c r="D54" s="929">
        <f t="shared" si="0"/>
        <v>0</v>
      </c>
      <c r="E54" s="941" t="s">
        <v>916</v>
      </c>
      <c r="F54" s="1154" t="s">
        <v>921</v>
      </c>
      <c r="G54" s="1157"/>
      <c r="H54" s="1158"/>
    </row>
    <row r="55" spans="1:8">
      <c r="A55" s="52" t="s">
        <v>902</v>
      </c>
      <c r="B55" s="946">
        <f>B22+B26</f>
        <v>0</v>
      </c>
      <c r="C55" s="842"/>
      <c r="D55" s="929">
        <f t="shared" si="0"/>
        <v>0</v>
      </c>
      <c r="E55" s="941" t="s">
        <v>915</v>
      </c>
      <c r="F55" s="1154"/>
      <c r="G55" s="1157"/>
      <c r="H55" s="1158"/>
    </row>
    <row r="56" spans="1:8">
      <c r="A56" s="52" t="s">
        <v>904</v>
      </c>
      <c r="B56" s="946">
        <f>B21+B25</f>
        <v>0</v>
      </c>
      <c r="C56" s="842"/>
      <c r="D56" s="929">
        <f t="shared" si="0"/>
        <v>0</v>
      </c>
      <c r="E56" s="941" t="s">
        <v>913</v>
      </c>
      <c r="F56" s="1154"/>
      <c r="G56" s="1157"/>
      <c r="H56" s="1158"/>
    </row>
    <row r="57" spans="1:8">
      <c r="A57" s="52" t="s">
        <v>905</v>
      </c>
      <c r="B57" s="946">
        <f>B23+B27</f>
        <v>0</v>
      </c>
      <c r="C57" s="842"/>
      <c r="D57" s="929">
        <f t="shared" si="0"/>
        <v>0</v>
      </c>
      <c r="E57" s="941" t="s">
        <v>917</v>
      </c>
      <c r="F57" s="1154"/>
      <c r="G57" s="1157"/>
      <c r="H57" s="1158"/>
    </row>
    <row r="58" spans="1:8">
      <c r="A58" s="52" t="s">
        <v>908</v>
      </c>
      <c r="B58" s="946">
        <f>B14</f>
        <v>0</v>
      </c>
      <c r="C58" s="842"/>
      <c r="D58" s="929">
        <f t="shared" si="0"/>
        <v>0</v>
      </c>
      <c r="E58" s="941" t="s">
        <v>910</v>
      </c>
      <c r="F58" s="1154"/>
    </row>
    <row r="59" spans="1:8">
      <c r="A59" s="52" t="s">
        <v>907</v>
      </c>
      <c r="B59" s="946">
        <f>B13</f>
        <v>0</v>
      </c>
      <c r="C59" s="842"/>
      <c r="D59" s="929">
        <f t="shared" si="0"/>
        <v>0</v>
      </c>
      <c r="E59" s="941" t="s">
        <v>911</v>
      </c>
      <c r="F59" s="1154"/>
    </row>
    <row r="60" spans="1:8">
      <c r="A60" s="52" t="s">
        <v>909</v>
      </c>
      <c r="B60" s="946">
        <f>B15</f>
        <v>1</v>
      </c>
      <c r="C60" s="842"/>
      <c r="D60" s="929">
        <f t="shared" si="0"/>
        <v>0</v>
      </c>
      <c r="E60" s="941" t="s">
        <v>933</v>
      </c>
      <c r="F60" s="1154"/>
    </row>
    <row r="61" spans="1:8">
      <c r="A61" s="52" t="s">
        <v>932</v>
      </c>
      <c r="B61" s="946">
        <f>B17</f>
        <v>1</v>
      </c>
      <c r="C61" s="842"/>
      <c r="D61" s="929">
        <f t="shared" si="0"/>
        <v>0</v>
      </c>
      <c r="E61" s="941" t="s">
        <v>915</v>
      </c>
      <c r="F61" s="1154"/>
    </row>
    <row r="62" spans="1:8">
      <c r="A62" s="52" t="s">
        <v>912</v>
      </c>
      <c r="B62" s="946">
        <f>B16+B18</f>
        <v>0</v>
      </c>
      <c r="C62" s="842"/>
      <c r="D62" s="929">
        <f t="shared" si="0"/>
        <v>0</v>
      </c>
      <c r="E62" s="941" t="s">
        <v>914</v>
      </c>
      <c r="F62" s="1154"/>
    </row>
    <row r="63" spans="1:8">
      <c r="A63" s="52" t="s">
        <v>139</v>
      </c>
      <c r="B63" s="860">
        <f>B5+B8</f>
        <v>0</v>
      </c>
      <c r="C63" s="842"/>
      <c r="D63" s="857">
        <f t="shared" si="0"/>
        <v>0</v>
      </c>
    </row>
    <row r="64" spans="1:8">
      <c r="A64" s="52" t="s">
        <v>140</v>
      </c>
      <c r="B64" s="860">
        <f>B6+B9</f>
        <v>0</v>
      </c>
      <c r="C64" s="842"/>
      <c r="D64" s="857">
        <f t="shared" si="0"/>
        <v>0</v>
      </c>
    </row>
    <row r="65" spans="1:4">
      <c r="A65" s="52" t="s">
        <v>888</v>
      </c>
      <c r="B65" s="860">
        <f>B7</f>
        <v>2</v>
      </c>
      <c r="C65" s="842"/>
      <c r="D65" s="857">
        <f t="shared" si="0"/>
        <v>0</v>
      </c>
    </row>
    <row r="66" spans="1:4">
      <c r="A66" s="52" t="s">
        <v>903</v>
      </c>
      <c r="B66" s="946">
        <f>B5+B8</f>
        <v>0</v>
      </c>
      <c r="C66" s="842"/>
      <c r="D66" s="857">
        <f t="shared" si="0"/>
        <v>0</v>
      </c>
    </row>
    <row r="67" spans="1:4">
      <c r="A67" s="52" t="s">
        <v>906</v>
      </c>
      <c r="B67" s="946">
        <f>B6+B9</f>
        <v>0</v>
      </c>
      <c r="C67" s="842"/>
      <c r="D67" s="929">
        <f t="shared" si="0"/>
        <v>0</v>
      </c>
    </row>
    <row r="68" spans="1:4">
      <c r="A68" s="52" t="s">
        <v>822</v>
      </c>
      <c r="B68" s="946">
        <f>B25+B27</f>
        <v>0</v>
      </c>
      <c r="C68" s="842"/>
      <c r="D68" s="929">
        <f t="shared" si="0"/>
        <v>0</v>
      </c>
    </row>
    <row r="69" spans="1:4">
      <c r="A69" s="52" t="s">
        <v>800</v>
      </c>
      <c r="B69" s="946">
        <f>B21+B23</f>
        <v>0</v>
      </c>
      <c r="C69" s="842"/>
      <c r="D69" s="929">
        <f t="shared" si="0"/>
        <v>0</v>
      </c>
    </row>
    <row r="70" spans="1:4">
      <c r="A70" s="52" t="s">
        <v>801</v>
      </c>
      <c r="B70" s="946">
        <f>B6+B9</f>
        <v>0</v>
      </c>
      <c r="C70" s="842"/>
      <c r="D70" s="929">
        <f t="shared" si="0"/>
        <v>0</v>
      </c>
    </row>
    <row r="71" spans="1:4">
      <c r="A71" s="52" t="s">
        <v>141</v>
      </c>
      <c r="B71" s="946">
        <f>B7+B10</f>
        <v>2</v>
      </c>
      <c r="C71" s="842"/>
      <c r="D71" s="929">
        <f t="shared" si="0"/>
        <v>0</v>
      </c>
    </row>
    <row r="72" spans="1:4">
      <c r="A72" s="52" t="s">
        <v>142</v>
      </c>
      <c r="B72" s="946">
        <f>B71</f>
        <v>2</v>
      </c>
      <c r="C72" s="842"/>
      <c r="D72" s="929">
        <f t="shared" si="0"/>
        <v>0</v>
      </c>
    </row>
    <row r="73" spans="1:4">
      <c r="A73" s="52" t="s">
        <v>145</v>
      </c>
      <c r="B73" s="946">
        <f>B29</f>
        <v>1</v>
      </c>
      <c r="C73" s="842"/>
      <c r="D73" s="929">
        <f t="shared" si="0"/>
        <v>0</v>
      </c>
    </row>
    <row r="74" spans="1:4">
      <c r="A74" s="52" t="s">
        <v>148</v>
      </c>
      <c r="B74" s="946">
        <f>B28</f>
        <v>1</v>
      </c>
      <c r="C74" s="842"/>
      <c r="D74" s="929">
        <f t="shared" si="0"/>
        <v>0</v>
      </c>
    </row>
    <row r="75" spans="1:4" ht="12" thickBot="1">
      <c r="A75" s="810" t="s">
        <v>889</v>
      </c>
      <c r="B75" s="947">
        <f>B30</f>
        <v>1</v>
      </c>
      <c r="C75" s="900"/>
      <c r="D75" s="4">
        <f>B75*C75</f>
        <v>0</v>
      </c>
    </row>
    <row r="76" spans="1:4">
      <c r="C76" t="s">
        <v>9</v>
      </c>
      <c r="D76">
        <f>SUM(D34:D53)</f>
        <v>0</v>
      </c>
    </row>
    <row r="82" spans="1:4">
      <c r="A82" s="95"/>
      <c r="B82" s="96"/>
      <c r="C82" s="97"/>
      <c r="D82" s="71"/>
    </row>
    <row r="83" spans="1:4">
      <c r="A83" s="95"/>
      <c r="B83" s="96"/>
      <c r="C83" s="97"/>
      <c r="D83" s="71"/>
    </row>
    <row r="84" spans="1:4">
      <c r="A84" s="95"/>
      <c r="B84" s="96"/>
      <c r="C84" s="97"/>
      <c r="D84" s="71"/>
    </row>
    <row r="85" spans="1:4" ht="16.5" customHeight="1"/>
  </sheetData>
  <mergeCells count="14">
    <mergeCell ref="A1:D1"/>
    <mergeCell ref="C2:D2"/>
    <mergeCell ref="C3:D3"/>
    <mergeCell ref="C5:D5"/>
    <mergeCell ref="C8:D8"/>
    <mergeCell ref="C6:D6"/>
    <mergeCell ref="C7:D7"/>
    <mergeCell ref="F54:F62"/>
    <mergeCell ref="C10:D10"/>
    <mergeCell ref="G54:H57"/>
    <mergeCell ref="G53:H53"/>
    <mergeCell ref="F2:K3"/>
    <mergeCell ref="C9:D9"/>
    <mergeCell ref="C4:D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K66"/>
  <sheetViews>
    <sheetView topLeftCell="A10" zoomScale="123" zoomScaleNormal="130" zoomScaleSheetLayoutView="100" workbookViewId="0">
      <selection activeCell="A19" sqref="A19"/>
    </sheetView>
  </sheetViews>
  <sheetFormatPr defaultRowHeight="11.25"/>
  <cols>
    <col min="1" max="1" width="62" customWidth="1"/>
    <col min="2" max="2" width="10" customWidth="1"/>
    <col min="4" max="4" width="16.6640625" customWidth="1"/>
    <col min="5" max="5" width="4" customWidth="1"/>
    <col min="8" max="8" width="10.1640625" customWidth="1"/>
    <col min="9" max="9" width="10.33203125" customWidth="1"/>
    <col min="10" max="10" width="11" customWidth="1"/>
    <col min="11" max="11" width="10.6640625" customWidth="1"/>
  </cols>
  <sheetData>
    <row r="1" spans="1:11" ht="31.5" customHeight="1" thickBot="1">
      <c r="A1" s="1168" t="s">
        <v>804</v>
      </c>
      <c r="B1" s="1169"/>
      <c r="C1" s="1169"/>
      <c r="D1" s="1169"/>
    </row>
    <row r="2" spans="1:11" ht="11.25" customHeight="1">
      <c r="A2" s="110" t="s">
        <v>10</v>
      </c>
      <c r="B2" s="778">
        <v>0</v>
      </c>
      <c r="C2" s="1081" t="s">
        <v>30</v>
      </c>
      <c r="D2" s="1056"/>
      <c r="F2" s="1059" t="s">
        <v>122</v>
      </c>
      <c r="G2" s="1060"/>
      <c r="H2" s="1060"/>
      <c r="I2" s="1060"/>
      <c r="J2" s="1060"/>
      <c r="K2" s="1061"/>
    </row>
    <row r="3" spans="1:11" ht="12" thickBot="1">
      <c r="A3" s="118" t="s">
        <v>1</v>
      </c>
      <c r="B3" s="785">
        <v>0</v>
      </c>
      <c r="C3" s="1170" t="s">
        <v>30</v>
      </c>
      <c r="D3" s="1171"/>
      <c r="F3" s="1062"/>
      <c r="G3" s="1063"/>
      <c r="H3" s="1063"/>
      <c r="I3" s="1063"/>
      <c r="J3" s="1063"/>
      <c r="K3" s="1064"/>
    </row>
    <row r="4" spans="1:11" ht="11.25" customHeight="1">
      <c r="A4" s="117" t="s">
        <v>150</v>
      </c>
      <c r="B4" s="778">
        <v>0</v>
      </c>
      <c r="C4" s="1172" t="s">
        <v>805</v>
      </c>
      <c r="D4" s="1040"/>
    </row>
    <row r="5" spans="1:11">
      <c r="A5" s="116" t="s">
        <v>151</v>
      </c>
      <c r="B5" s="779">
        <v>0</v>
      </c>
      <c r="C5" s="1173"/>
      <c r="D5" s="1174"/>
    </row>
    <row r="6" spans="1:11">
      <c r="A6" s="826" t="s">
        <v>156</v>
      </c>
      <c r="B6" s="779">
        <v>0</v>
      </c>
      <c r="C6" s="1165" t="s">
        <v>30</v>
      </c>
      <c r="D6" s="1166"/>
    </row>
    <row r="7" spans="1:11" ht="11.25" customHeight="1" thickBot="1">
      <c r="A7" s="827" t="s">
        <v>806</v>
      </c>
      <c r="B7" s="146">
        <v>0</v>
      </c>
      <c r="C7" s="1165" t="s">
        <v>30</v>
      </c>
      <c r="D7" s="1166"/>
    </row>
    <row r="8" spans="1:11" ht="11.25" customHeight="1">
      <c r="A8" s="828" t="s">
        <v>152</v>
      </c>
      <c r="B8" s="143">
        <v>0</v>
      </c>
      <c r="C8" s="1175" t="s">
        <v>149</v>
      </c>
      <c r="D8" s="1176"/>
    </row>
    <row r="9" spans="1:11">
      <c r="A9" s="116" t="s">
        <v>153</v>
      </c>
      <c r="B9" s="785">
        <v>0</v>
      </c>
      <c r="C9" s="1177"/>
      <c r="D9" s="1178"/>
    </row>
    <row r="10" spans="1:11">
      <c r="A10" s="116" t="s">
        <v>155</v>
      </c>
      <c r="B10" s="785">
        <v>0</v>
      </c>
      <c r="C10" s="1165" t="s">
        <v>30</v>
      </c>
      <c r="D10" s="1166"/>
    </row>
    <row r="11" spans="1:11" ht="11.25" customHeight="1">
      <c r="A11" s="829" t="s">
        <v>154</v>
      </c>
      <c r="B11" s="785">
        <v>0</v>
      </c>
      <c r="C11" s="1179" t="s">
        <v>30</v>
      </c>
      <c r="D11" s="1180"/>
    </row>
    <row r="12" spans="1:11" ht="12" thickBot="1">
      <c r="A12" s="827" t="s">
        <v>807</v>
      </c>
      <c r="B12" s="146">
        <v>0</v>
      </c>
      <c r="C12" s="1179" t="s">
        <v>30</v>
      </c>
      <c r="D12" s="1180"/>
    </row>
    <row r="13" spans="1:11" ht="12" thickBot="1">
      <c r="A13" s="830" t="s">
        <v>147</v>
      </c>
      <c r="B13" s="147">
        <v>0</v>
      </c>
      <c r="C13" s="1155" t="s">
        <v>30</v>
      </c>
      <c r="D13" s="1156"/>
    </row>
    <row r="14" spans="1:11" ht="12" thickBot="1">
      <c r="A14" s="156" t="s">
        <v>146</v>
      </c>
      <c r="B14" s="153">
        <v>0</v>
      </c>
      <c r="C14" s="1155" t="s">
        <v>30</v>
      </c>
      <c r="D14" s="1156"/>
    </row>
    <row r="15" spans="1:11" ht="12" thickBot="1">
      <c r="A15" s="156" t="s">
        <v>143</v>
      </c>
      <c r="B15" s="147">
        <v>0</v>
      </c>
      <c r="C15" s="1155" t="s">
        <v>30</v>
      </c>
      <c r="D15" s="1156"/>
    </row>
    <row r="16" spans="1:11" ht="12" thickBot="1">
      <c r="A16" s="1167"/>
      <c r="B16" s="1167"/>
      <c r="C16" s="1167"/>
      <c r="D16" s="1167"/>
    </row>
    <row r="17" spans="1:11" ht="12.75">
      <c r="A17" s="98" t="s">
        <v>5</v>
      </c>
      <c r="B17" s="99" t="s">
        <v>0</v>
      </c>
      <c r="C17" s="119" t="s">
        <v>4</v>
      </c>
      <c r="D17" s="787" t="s">
        <v>8</v>
      </c>
      <c r="E17" s="5"/>
      <c r="F17" s="5"/>
      <c r="G17" s="5"/>
      <c r="H17" s="5"/>
      <c r="I17" s="5"/>
      <c r="J17" s="5"/>
      <c r="K17" s="5"/>
    </row>
    <row r="18" spans="1:11">
      <c r="A18" s="6" t="s">
        <v>795</v>
      </c>
      <c r="B18" s="114">
        <f>2*(B4+B5+B8+B9)</f>
        <v>0</v>
      </c>
      <c r="C18" s="854">
        <v>9</v>
      </c>
      <c r="D18" s="782">
        <f t="shared" ref="D18:D49" si="0">C18*B18</f>
        <v>0</v>
      </c>
    </row>
    <row r="19" spans="1:11">
      <c r="A19" s="6" t="s">
        <v>808</v>
      </c>
      <c r="B19" s="114">
        <f>(IF(B2&lt;=1,2,IF(B2&lt;=1.5,3,IF(B2&lt;=2,4,IF(B2&lt;=2.5,5,6)))))*(B4+B5)-B21</f>
        <v>0</v>
      </c>
      <c r="C19" s="854"/>
      <c r="D19" s="782">
        <f t="shared" si="0"/>
        <v>0</v>
      </c>
    </row>
    <row r="20" spans="1:11">
      <c r="A20" s="6" t="s">
        <v>809</v>
      </c>
      <c r="B20" s="114">
        <f>(IF(B2&lt;=1,2,IF(B2&lt;=1.5,3,IF(B2&lt;=2,4,IF(B2&lt;=2.5,5,6)))))*(B9+B8)-B22</f>
        <v>0</v>
      </c>
      <c r="C20" s="854"/>
      <c r="D20" s="782">
        <f t="shared" si="0"/>
        <v>0</v>
      </c>
    </row>
    <row r="21" spans="1:11">
      <c r="A21" s="6" t="s">
        <v>810</v>
      </c>
      <c r="B21" s="114">
        <f>(IF(B2&lt;=1,2,IF(B2&lt;=1.5,3,IF(B2&lt;=2,4,IF(B2&lt;=2.5,5,6)))))*(B6)</f>
        <v>0</v>
      </c>
      <c r="C21" s="854"/>
      <c r="D21" s="782">
        <f t="shared" si="0"/>
        <v>0</v>
      </c>
    </row>
    <row r="22" spans="1:11" s="5" customFormat="1" ht="12" customHeight="1">
      <c r="A22" s="6" t="s">
        <v>811</v>
      </c>
      <c r="B22" s="114">
        <f>(IF(B2&lt;=1,2,IF(B2&lt;=1.5,3,IF(B2&lt;=2,4,IF(B2&lt;=2.5,5,6)))))*B11</f>
        <v>0</v>
      </c>
      <c r="C22" s="854"/>
      <c r="D22" s="782">
        <f t="shared" si="0"/>
        <v>0</v>
      </c>
      <c r="E22"/>
      <c r="F22"/>
      <c r="G22"/>
      <c r="H22"/>
      <c r="I22"/>
      <c r="J22"/>
      <c r="K22"/>
    </row>
    <row r="23" spans="1:11">
      <c r="A23" s="6" t="s">
        <v>50</v>
      </c>
      <c r="B23" s="114">
        <f>B2*2*(B5+B9)</f>
        <v>0</v>
      </c>
      <c r="C23" s="854"/>
      <c r="D23" s="782">
        <f t="shared" si="0"/>
        <v>0</v>
      </c>
    </row>
    <row r="24" spans="1:11">
      <c r="A24" s="831" t="s">
        <v>812</v>
      </c>
      <c r="B24" s="115">
        <f>B4+B5</f>
        <v>0</v>
      </c>
      <c r="C24" s="855"/>
      <c r="D24" s="782">
        <f t="shared" si="0"/>
        <v>0</v>
      </c>
    </row>
    <row r="25" spans="1:11">
      <c r="A25" s="831" t="s">
        <v>813</v>
      </c>
      <c r="B25" s="115">
        <f>B4+B5</f>
        <v>0</v>
      </c>
      <c r="C25" s="855"/>
      <c r="D25" s="782">
        <f t="shared" si="0"/>
        <v>0</v>
      </c>
    </row>
    <row r="26" spans="1:11">
      <c r="A26" s="831" t="s">
        <v>120</v>
      </c>
      <c r="B26" s="114">
        <f>(B8+B9)-B10</f>
        <v>0</v>
      </c>
      <c r="C26" s="854"/>
      <c r="D26" s="782">
        <f t="shared" si="0"/>
        <v>0</v>
      </c>
    </row>
    <row r="27" spans="1:11">
      <c r="A27" s="831" t="s">
        <v>121</v>
      </c>
      <c r="B27" s="114">
        <f>B10</f>
        <v>0</v>
      </c>
      <c r="C27" s="854"/>
      <c r="D27" s="782">
        <f t="shared" si="0"/>
        <v>0</v>
      </c>
    </row>
    <row r="28" spans="1:11">
      <c r="A28" s="7" t="s">
        <v>119</v>
      </c>
      <c r="B28" s="114">
        <f>B2*(B4+B5+B8+B9)</f>
        <v>0</v>
      </c>
      <c r="C28" s="854"/>
      <c r="D28" s="782">
        <f t="shared" si="0"/>
        <v>0</v>
      </c>
    </row>
    <row r="29" spans="1:11">
      <c r="A29" s="832" t="s">
        <v>229</v>
      </c>
      <c r="B29" s="114">
        <f>B4+B5</f>
        <v>0</v>
      </c>
      <c r="C29" s="854"/>
      <c r="D29" s="782">
        <f t="shared" si="0"/>
        <v>0</v>
      </c>
    </row>
    <row r="30" spans="1:11">
      <c r="A30" s="6" t="s">
        <v>118</v>
      </c>
      <c r="B30" s="114">
        <f>B28</f>
        <v>0</v>
      </c>
      <c r="C30" s="854"/>
      <c r="D30" s="782">
        <f t="shared" si="0"/>
        <v>0</v>
      </c>
    </row>
    <row r="31" spans="1:11">
      <c r="A31" s="6" t="s">
        <v>814</v>
      </c>
      <c r="B31" s="114">
        <f>B2*B4</f>
        <v>0</v>
      </c>
      <c r="C31" s="854"/>
      <c r="D31" s="782">
        <f t="shared" si="0"/>
        <v>0</v>
      </c>
    </row>
    <row r="32" spans="1:11">
      <c r="A32" s="6" t="s">
        <v>815</v>
      </c>
      <c r="B32" s="114">
        <f>B2*B5</f>
        <v>0</v>
      </c>
      <c r="C32" s="854"/>
      <c r="D32" s="782">
        <f t="shared" si="0"/>
        <v>0</v>
      </c>
    </row>
    <row r="33" spans="1:4">
      <c r="A33" s="6" t="s">
        <v>816</v>
      </c>
      <c r="B33" s="114">
        <f>B2*B8</f>
        <v>0</v>
      </c>
      <c r="C33" s="854"/>
      <c r="D33" s="782">
        <f t="shared" si="0"/>
        <v>0</v>
      </c>
    </row>
    <row r="34" spans="1:4">
      <c r="A34" s="6" t="s">
        <v>817</v>
      </c>
      <c r="B34" s="114">
        <f>B2*B9</f>
        <v>0</v>
      </c>
      <c r="C34" s="854"/>
      <c r="D34" s="782">
        <f t="shared" si="0"/>
        <v>0</v>
      </c>
    </row>
    <row r="35" spans="1:4">
      <c r="A35" s="6" t="s">
        <v>818</v>
      </c>
      <c r="B35" s="114">
        <f>B2*(B4+B5)</f>
        <v>0</v>
      </c>
      <c r="C35" s="854"/>
      <c r="D35" s="782">
        <f t="shared" si="0"/>
        <v>0</v>
      </c>
    </row>
    <row r="36" spans="1:4">
      <c r="A36" s="6" t="s">
        <v>819</v>
      </c>
      <c r="B36" s="114">
        <f>B2*(B8+B9)</f>
        <v>0</v>
      </c>
      <c r="C36" s="854"/>
      <c r="D36" s="782">
        <f t="shared" si="0"/>
        <v>0</v>
      </c>
    </row>
    <row r="37" spans="1:4">
      <c r="A37" s="7" t="s">
        <v>797</v>
      </c>
      <c r="B37" s="114">
        <f>B2*(B4+B5+B8+B9)</f>
        <v>0</v>
      </c>
      <c r="C37" s="854"/>
      <c r="D37" s="782">
        <f t="shared" si="0"/>
        <v>0</v>
      </c>
    </row>
    <row r="38" spans="1:4">
      <c r="A38" s="7" t="s">
        <v>820</v>
      </c>
      <c r="B38" s="115">
        <f>B2*(B4+B5)</f>
        <v>0</v>
      </c>
      <c r="C38" s="913"/>
      <c r="D38" s="782">
        <f t="shared" si="0"/>
        <v>0</v>
      </c>
    </row>
    <row r="39" spans="1:4">
      <c r="A39" s="6" t="s">
        <v>798</v>
      </c>
      <c r="B39" s="115">
        <f>B2*(B8+B9)</f>
        <v>0</v>
      </c>
      <c r="C39" s="854"/>
      <c r="D39" s="782">
        <f t="shared" si="0"/>
        <v>0</v>
      </c>
    </row>
    <row r="40" spans="1:4">
      <c r="A40" s="7" t="s">
        <v>139</v>
      </c>
      <c r="B40" s="115">
        <f>B4+B5</f>
        <v>0</v>
      </c>
      <c r="C40" s="855"/>
      <c r="D40" s="782">
        <f t="shared" si="0"/>
        <v>0</v>
      </c>
    </row>
    <row r="41" spans="1:4">
      <c r="A41" s="7" t="s">
        <v>140</v>
      </c>
      <c r="B41" s="115">
        <f>B8+B9</f>
        <v>0</v>
      </c>
      <c r="C41" s="855"/>
      <c r="D41" s="782">
        <f t="shared" si="0"/>
        <v>0</v>
      </c>
    </row>
    <row r="42" spans="1:4">
      <c r="A42" s="7" t="s">
        <v>821</v>
      </c>
      <c r="B42" s="115">
        <f>B40</f>
        <v>0</v>
      </c>
      <c r="C42" s="855"/>
      <c r="D42" s="782">
        <f t="shared" si="0"/>
        <v>0</v>
      </c>
    </row>
    <row r="43" spans="1:4">
      <c r="A43" s="7" t="s">
        <v>822</v>
      </c>
      <c r="B43" s="115">
        <f>B7</f>
        <v>0</v>
      </c>
      <c r="C43" s="855"/>
      <c r="D43" s="782">
        <f t="shared" si="0"/>
        <v>0</v>
      </c>
    </row>
    <row r="44" spans="1:4">
      <c r="A44" s="7" t="s">
        <v>800</v>
      </c>
      <c r="B44" s="115">
        <f>B12</f>
        <v>0</v>
      </c>
      <c r="C44" s="855"/>
      <c r="D44" s="782">
        <f t="shared" si="0"/>
        <v>0</v>
      </c>
    </row>
    <row r="45" spans="1:4" hidden="1">
      <c r="A45" s="7" t="s">
        <v>801</v>
      </c>
      <c r="B45" s="115">
        <f>B41</f>
        <v>0</v>
      </c>
      <c r="C45" s="855"/>
      <c r="D45" s="782">
        <f t="shared" si="0"/>
        <v>0</v>
      </c>
    </row>
    <row r="46" spans="1:4">
      <c r="A46" s="154" t="s">
        <v>145</v>
      </c>
      <c r="B46" s="115">
        <f>B14</f>
        <v>0</v>
      </c>
      <c r="C46" s="855"/>
      <c r="D46" s="782">
        <f t="shared" si="0"/>
        <v>0</v>
      </c>
    </row>
    <row r="47" spans="1:4">
      <c r="A47" s="154" t="s">
        <v>148</v>
      </c>
      <c r="B47" s="115">
        <f>B13</f>
        <v>0</v>
      </c>
      <c r="C47" s="855"/>
      <c r="D47" s="782">
        <f t="shared" si="0"/>
        <v>0</v>
      </c>
    </row>
    <row r="48" spans="1:4">
      <c r="A48" s="154" t="s">
        <v>802</v>
      </c>
      <c r="B48" s="155">
        <f>B15</f>
        <v>0</v>
      </c>
      <c r="C48" s="914"/>
      <c r="D48" s="782">
        <f t="shared" si="0"/>
        <v>0</v>
      </c>
    </row>
    <row r="49" spans="1:4" ht="12" thickBot="1">
      <c r="A49" s="30" t="s">
        <v>803</v>
      </c>
      <c r="B49" s="120">
        <f>B15</f>
        <v>0</v>
      </c>
      <c r="C49" s="915"/>
      <c r="D49" s="782">
        <f t="shared" si="0"/>
        <v>0</v>
      </c>
    </row>
    <row r="50" spans="1:4" ht="12.75">
      <c r="C50" s="2" t="s">
        <v>9</v>
      </c>
      <c r="D50">
        <f>SUM(D18:D49)</f>
        <v>0</v>
      </c>
    </row>
    <row r="63" spans="1:4">
      <c r="A63" s="95"/>
      <c r="B63" s="96"/>
      <c r="C63" s="97"/>
      <c r="D63" s="71"/>
    </row>
    <row r="64" spans="1:4">
      <c r="A64" s="95"/>
      <c r="B64" s="96"/>
      <c r="C64" s="97"/>
      <c r="D64" s="71"/>
    </row>
    <row r="65" spans="1:4">
      <c r="A65" s="95"/>
      <c r="B65" s="96"/>
      <c r="C65" s="97"/>
      <c r="D65" s="71"/>
    </row>
    <row r="66" spans="1:4" ht="16.5" customHeight="1"/>
  </sheetData>
  <sheetProtection algorithmName="SHA-512" hashValue="Aac/XWIUAXH3gz3C+FTnaXu8Sp8xsRJrkUXxNNAKL0aAOynONWeWsFmJWWOgFJjqN7eyYAzbcVYaSvtOBbePfw==" saltValue="cxJ5fKNWM4fKcOFK+m3vgQ==" spinCount="100000" sheet="1" objects="1" scenarios="1"/>
  <mergeCells count="15">
    <mergeCell ref="A16:D16"/>
    <mergeCell ref="F2:K3"/>
    <mergeCell ref="A1:D1"/>
    <mergeCell ref="C2:D2"/>
    <mergeCell ref="C3:D3"/>
    <mergeCell ref="C4:D5"/>
    <mergeCell ref="C6:D6"/>
    <mergeCell ref="C7:D7"/>
    <mergeCell ref="C8:D9"/>
    <mergeCell ref="C10:D10"/>
    <mergeCell ref="C13:D13"/>
    <mergeCell ref="C14:D14"/>
    <mergeCell ref="C15:D15"/>
    <mergeCell ref="C11:D11"/>
    <mergeCell ref="C12:D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K42"/>
  <sheetViews>
    <sheetView zoomScale="130" zoomScaleNormal="130" zoomScaleSheetLayoutView="100" workbookViewId="0">
      <selection activeCell="A32" sqref="A32"/>
    </sheetView>
  </sheetViews>
  <sheetFormatPr defaultRowHeight="11.25"/>
  <cols>
    <col min="1" max="1" width="51.83203125" customWidth="1"/>
    <col min="2" max="2" width="10" customWidth="1"/>
    <col min="4" max="4" width="21.1640625" customWidth="1"/>
    <col min="11" max="11" width="11" customWidth="1"/>
  </cols>
  <sheetData>
    <row r="1" spans="1:11" ht="48.75" customHeight="1" thickBot="1">
      <c r="A1" s="1181" t="s">
        <v>823</v>
      </c>
      <c r="B1" s="1169"/>
      <c r="C1" s="1169"/>
      <c r="D1" s="1169"/>
    </row>
    <row r="2" spans="1:11" ht="11.25" customHeight="1">
      <c r="A2" s="110" t="s">
        <v>10</v>
      </c>
      <c r="B2" s="834">
        <v>0</v>
      </c>
      <c r="C2" s="1081" t="s">
        <v>30</v>
      </c>
      <c r="D2" s="1056"/>
      <c r="F2" s="1059" t="s">
        <v>122</v>
      </c>
      <c r="G2" s="1060"/>
      <c r="H2" s="1060"/>
      <c r="I2" s="1060"/>
      <c r="J2" s="1060"/>
      <c r="K2" s="1061"/>
    </row>
    <row r="3" spans="1:11" ht="12" thickBot="1">
      <c r="A3" s="112" t="s">
        <v>1</v>
      </c>
      <c r="B3" s="835">
        <v>0</v>
      </c>
      <c r="C3" s="1182" t="s">
        <v>30</v>
      </c>
      <c r="D3" s="1183"/>
      <c r="F3" s="1062"/>
      <c r="G3" s="1063"/>
      <c r="H3" s="1063"/>
      <c r="I3" s="1063"/>
      <c r="J3" s="1063"/>
      <c r="K3" s="1064"/>
    </row>
    <row r="4" spans="1:11" ht="11.25" customHeight="1">
      <c r="A4" s="122" t="s">
        <v>824</v>
      </c>
      <c r="B4" s="906">
        <v>0</v>
      </c>
      <c r="C4" s="1184" t="s">
        <v>30</v>
      </c>
      <c r="D4" s="1049"/>
    </row>
    <row r="5" spans="1:11" ht="12" thickBot="1">
      <c r="A5" s="145" t="s">
        <v>794</v>
      </c>
      <c r="B5" s="916">
        <v>0</v>
      </c>
      <c r="C5" s="1170" t="s">
        <v>30</v>
      </c>
      <c r="D5" s="1171"/>
    </row>
    <row r="6" spans="1:11" ht="12" thickBot="1">
      <c r="A6" s="825" t="s">
        <v>147</v>
      </c>
      <c r="B6" s="908">
        <v>0</v>
      </c>
      <c r="C6" s="1155" t="s">
        <v>30</v>
      </c>
      <c r="D6" s="1156"/>
    </row>
    <row r="7" spans="1:11" ht="12" thickBot="1">
      <c r="A7" s="148" t="s">
        <v>146</v>
      </c>
      <c r="B7" s="909">
        <v>0</v>
      </c>
      <c r="C7" s="1155" t="s">
        <v>30</v>
      </c>
      <c r="D7" s="1156"/>
    </row>
    <row r="8" spans="1:11" ht="11.25" customHeight="1" thickBot="1">
      <c r="A8" s="148" t="s">
        <v>143</v>
      </c>
      <c r="B8" s="908">
        <v>0</v>
      </c>
      <c r="C8" s="1155" t="s">
        <v>30</v>
      </c>
      <c r="D8" s="1156"/>
    </row>
    <row r="9" spans="1:11" ht="12" thickBot="1">
      <c r="A9" s="1185"/>
      <c r="B9" s="1185"/>
      <c r="C9" s="1185"/>
      <c r="D9" s="1185"/>
    </row>
    <row r="10" spans="1:11" ht="12.75">
      <c r="A10" s="98" t="s">
        <v>5</v>
      </c>
      <c r="B10" s="99" t="s">
        <v>0</v>
      </c>
      <c r="C10" s="119" t="s">
        <v>4</v>
      </c>
      <c r="D10" s="795" t="s">
        <v>8</v>
      </c>
      <c r="E10" s="5"/>
      <c r="F10" s="5"/>
      <c r="G10" s="5"/>
      <c r="H10" s="5"/>
      <c r="I10" s="5"/>
      <c r="J10" s="5"/>
      <c r="K10" s="5"/>
    </row>
    <row r="11" spans="1:11">
      <c r="A11" s="6" t="s">
        <v>795</v>
      </c>
      <c r="B11" s="114">
        <f>4*B4</f>
        <v>0</v>
      </c>
      <c r="C11" s="854">
        <v>9</v>
      </c>
      <c r="D11" s="794">
        <f t="shared" ref="D11:D24" si="0">C11*B11</f>
        <v>0</v>
      </c>
    </row>
    <row r="12" spans="1:11">
      <c r="A12" s="7" t="s">
        <v>825</v>
      </c>
      <c r="B12" s="833">
        <f>B4</f>
        <v>0</v>
      </c>
      <c r="C12" s="840"/>
      <c r="D12" s="794">
        <f t="shared" si="0"/>
        <v>0</v>
      </c>
    </row>
    <row r="13" spans="1:11" s="5" customFormat="1" ht="12.75" customHeight="1">
      <c r="A13" s="6" t="s">
        <v>826</v>
      </c>
      <c r="B13" s="114">
        <f>B12</f>
        <v>0</v>
      </c>
      <c r="C13" s="838"/>
      <c r="D13" s="794">
        <f t="shared" si="0"/>
        <v>0</v>
      </c>
      <c r="E13" s="71"/>
      <c r="F13" s="71"/>
      <c r="G13"/>
      <c r="H13"/>
      <c r="I13"/>
      <c r="J13"/>
      <c r="K13"/>
    </row>
    <row r="14" spans="1:11">
      <c r="A14" s="7" t="s">
        <v>119</v>
      </c>
      <c r="B14" s="115">
        <f>2*B2*B4</f>
        <v>0</v>
      </c>
      <c r="C14" s="854"/>
      <c r="D14" s="794">
        <f t="shared" si="0"/>
        <v>0</v>
      </c>
    </row>
    <row r="15" spans="1:11">
      <c r="A15" s="6" t="s">
        <v>118</v>
      </c>
      <c r="B15" s="114">
        <f>B14</f>
        <v>0</v>
      </c>
      <c r="C15" s="854"/>
      <c r="D15" s="794">
        <f t="shared" si="0"/>
        <v>0</v>
      </c>
    </row>
    <row r="16" spans="1:11">
      <c r="A16" s="7" t="s">
        <v>797</v>
      </c>
      <c r="B16" s="115">
        <f>2*B2*B4</f>
        <v>0</v>
      </c>
      <c r="C16" s="854"/>
      <c r="D16" s="794">
        <f t="shared" si="0"/>
        <v>0</v>
      </c>
    </row>
    <row r="17" spans="1:4">
      <c r="A17" s="6" t="s">
        <v>798</v>
      </c>
      <c r="B17" s="114">
        <f>B2*B4*2</f>
        <v>0</v>
      </c>
      <c r="C17" s="854"/>
      <c r="D17" s="794">
        <f t="shared" si="0"/>
        <v>0</v>
      </c>
    </row>
    <row r="18" spans="1:4">
      <c r="A18" s="7" t="s">
        <v>140</v>
      </c>
      <c r="B18" s="115">
        <f>B4*2</f>
        <v>0</v>
      </c>
      <c r="C18" s="855"/>
      <c r="D18" s="794">
        <f t="shared" si="0"/>
        <v>0</v>
      </c>
    </row>
    <row r="19" spans="1:4">
      <c r="A19" s="7" t="s">
        <v>800</v>
      </c>
      <c r="B19" s="115">
        <f>B5</f>
        <v>0</v>
      </c>
      <c r="C19" s="855"/>
      <c r="D19" s="794">
        <f t="shared" si="0"/>
        <v>0</v>
      </c>
    </row>
    <row r="20" spans="1:4" hidden="1">
      <c r="A20" s="7" t="s">
        <v>801</v>
      </c>
      <c r="B20" s="115">
        <f>B4</f>
        <v>0</v>
      </c>
      <c r="C20" s="855"/>
      <c r="D20" s="794">
        <f t="shared" si="0"/>
        <v>0</v>
      </c>
    </row>
    <row r="21" spans="1:4">
      <c r="A21" s="154" t="s">
        <v>145</v>
      </c>
      <c r="B21" s="115">
        <f>B7</f>
        <v>0</v>
      </c>
      <c r="C21" s="855"/>
      <c r="D21" s="794">
        <f t="shared" si="0"/>
        <v>0</v>
      </c>
    </row>
    <row r="22" spans="1:4">
      <c r="A22" s="154" t="s">
        <v>148</v>
      </c>
      <c r="B22" s="115">
        <f>B6</f>
        <v>0</v>
      </c>
      <c r="C22" s="855"/>
      <c r="D22" s="794">
        <f t="shared" si="0"/>
        <v>0</v>
      </c>
    </row>
    <row r="23" spans="1:4">
      <c r="A23" s="154" t="s">
        <v>802</v>
      </c>
      <c r="B23" s="115">
        <f>B8</f>
        <v>0</v>
      </c>
      <c r="C23" s="855"/>
      <c r="D23" s="794">
        <f t="shared" si="0"/>
        <v>0</v>
      </c>
    </row>
    <row r="24" spans="1:4" ht="12" thickBot="1">
      <c r="A24" s="30" t="s">
        <v>803</v>
      </c>
      <c r="B24" s="120">
        <f>B8</f>
        <v>0</v>
      </c>
      <c r="C24" s="915"/>
      <c r="D24" s="4">
        <f t="shared" si="0"/>
        <v>0</v>
      </c>
    </row>
    <row r="25" spans="1:4" ht="12.75">
      <c r="C25" s="2" t="s">
        <v>9</v>
      </c>
      <c r="D25">
        <f>SUM(D11:D24)</f>
        <v>0</v>
      </c>
    </row>
    <row r="42" ht="12.75" customHeight="1"/>
  </sheetData>
  <sheetProtection algorithmName="SHA-512" hashValue="SAD5KK9L+Ojv+X5BAOZO+qnxYPu4da7VAzIa/8BCR7LzIvbSDiCf3BzO0C/mwY3EjFI8P+poQVIp0QRFhbxb3A==" saltValue="59thZZaeyfQW2XTv6mlEIg==" spinCount="100000" sheet="1" objects="1" scenarios="1"/>
  <mergeCells count="10">
    <mergeCell ref="C7:D7"/>
    <mergeCell ref="C4:D4"/>
    <mergeCell ref="C5:D5"/>
    <mergeCell ref="C8:D8"/>
    <mergeCell ref="A9:D9"/>
    <mergeCell ref="F2:K3"/>
    <mergeCell ref="A1:D1"/>
    <mergeCell ref="C2:D2"/>
    <mergeCell ref="C3:D3"/>
    <mergeCell ref="C6:D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K27"/>
  <sheetViews>
    <sheetView zoomScale="130" zoomScaleNormal="130" zoomScaleSheetLayoutView="100" workbookViewId="0">
      <selection activeCell="F29" sqref="F29"/>
    </sheetView>
  </sheetViews>
  <sheetFormatPr defaultRowHeight="11.25"/>
  <cols>
    <col min="1" max="1" width="51.83203125" customWidth="1"/>
    <col min="2" max="2" width="10" customWidth="1"/>
    <col min="4" max="4" width="25" customWidth="1"/>
    <col min="11" max="11" width="11" customWidth="1"/>
  </cols>
  <sheetData>
    <row r="1" spans="1:11" ht="55.5" customHeight="1" thickBot="1">
      <c r="A1" s="1181" t="s">
        <v>827</v>
      </c>
      <c r="B1" s="1169"/>
      <c r="C1" s="1169"/>
      <c r="D1" s="1169"/>
    </row>
    <row r="2" spans="1:11" ht="11.25" customHeight="1">
      <c r="A2" s="110" t="s">
        <v>10</v>
      </c>
      <c r="B2" s="834">
        <v>2</v>
      </c>
      <c r="C2" s="1081" t="s">
        <v>125</v>
      </c>
      <c r="D2" s="1056"/>
      <c r="F2" s="1059" t="s">
        <v>122</v>
      </c>
      <c r="G2" s="1060"/>
      <c r="H2" s="1060"/>
      <c r="I2" s="1060"/>
      <c r="J2" s="1060"/>
      <c r="K2" s="1061"/>
    </row>
    <row r="3" spans="1:11" ht="12" thickBot="1">
      <c r="A3" s="112" t="s">
        <v>1</v>
      </c>
      <c r="B3" s="835">
        <v>0</v>
      </c>
      <c r="C3" s="1182" t="s">
        <v>30</v>
      </c>
      <c r="D3" s="1183"/>
      <c r="F3" s="1062"/>
      <c r="G3" s="1063"/>
      <c r="H3" s="1063"/>
      <c r="I3" s="1063"/>
      <c r="J3" s="1063"/>
      <c r="K3" s="1064"/>
    </row>
    <row r="4" spans="1:11">
      <c r="A4" s="122" t="s">
        <v>123</v>
      </c>
      <c r="B4" s="906">
        <v>0</v>
      </c>
      <c r="C4" s="1160" t="s">
        <v>30</v>
      </c>
      <c r="D4" s="1161"/>
    </row>
    <row r="5" spans="1:11" ht="12" thickBot="1">
      <c r="A5" s="145" t="s">
        <v>794</v>
      </c>
      <c r="B5" s="916">
        <v>0</v>
      </c>
      <c r="C5" s="1179" t="s">
        <v>30</v>
      </c>
      <c r="D5" s="1180"/>
    </row>
    <row r="6" spans="1:11" ht="12" thickBot="1">
      <c r="A6" s="825" t="s">
        <v>147</v>
      </c>
      <c r="B6" s="908">
        <v>0</v>
      </c>
      <c r="C6" s="1155" t="s">
        <v>30</v>
      </c>
      <c r="D6" s="1156"/>
    </row>
    <row r="7" spans="1:11" s="5" customFormat="1" ht="18" customHeight="1" thickBot="1">
      <c r="A7" s="148" t="s">
        <v>146</v>
      </c>
      <c r="B7" s="909">
        <v>0</v>
      </c>
      <c r="C7" s="1155" t="s">
        <v>30</v>
      </c>
      <c r="D7" s="1156"/>
      <c r="E7"/>
      <c r="F7"/>
      <c r="G7"/>
      <c r="H7"/>
      <c r="I7"/>
      <c r="J7"/>
      <c r="K7"/>
    </row>
    <row r="8" spans="1:11" ht="12" thickBot="1">
      <c r="A8" s="148" t="s">
        <v>143</v>
      </c>
      <c r="B8" s="909">
        <v>0</v>
      </c>
      <c r="C8" s="1155" t="s">
        <v>30</v>
      </c>
      <c r="D8" s="1156"/>
    </row>
    <row r="9" spans="1:11" ht="12" thickBot="1">
      <c r="A9" s="1185"/>
      <c r="B9" s="1185"/>
      <c r="C9" s="1185"/>
      <c r="D9" s="1185"/>
    </row>
    <row r="10" spans="1:11" ht="12.75">
      <c r="A10" s="98" t="s">
        <v>5</v>
      </c>
      <c r="B10" s="99" t="s">
        <v>0</v>
      </c>
      <c r="C10" s="119" t="s">
        <v>4</v>
      </c>
      <c r="D10" s="795" t="s">
        <v>8</v>
      </c>
      <c r="E10" s="5"/>
      <c r="F10" s="5"/>
      <c r="G10" s="5"/>
      <c r="H10" s="5"/>
      <c r="I10" s="5"/>
      <c r="J10" s="5"/>
      <c r="K10" s="5"/>
    </row>
    <row r="11" spans="1:11">
      <c r="A11" s="6" t="s">
        <v>795</v>
      </c>
      <c r="B11" s="114">
        <f>4*B4</f>
        <v>0</v>
      </c>
      <c r="C11" s="854">
        <v>9</v>
      </c>
      <c r="D11" s="794">
        <f t="shared" ref="D11" si="0">C11*B11</f>
        <v>0</v>
      </c>
    </row>
    <row r="12" spans="1:11">
      <c r="A12" s="6" t="s">
        <v>126</v>
      </c>
      <c r="B12" s="114">
        <f>B4</f>
        <v>0</v>
      </c>
      <c r="C12" s="854"/>
      <c r="D12" s="794">
        <f>C12*B12</f>
        <v>0</v>
      </c>
    </row>
    <row r="13" spans="1:11">
      <c r="A13" s="6" t="s">
        <v>796</v>
      </c>
      <c r="B13" s="114">
        <f>2*B4</f>
        <v>0</v>
      </c>
      <c r="C13" s="854"/>
      <c r="D13" s="794">
        <f>C13*B13</f>
        <v>0</v>
      </c>
      <c r="E13" s="71"/>
      <c r="F13" s="71"/>
    </row>
    <row r="14" spans="1:11">
      <c r="A14" s="7" t="s">
        <v>119</v>
      </c>
      <c r="B14" s="115">
        <f>B2*B4</f>
        <v>0</v>
      </c>
      <c r="C14" s="854"/>
      <c r="D14" s="794">
        <f t="shared" ref="D14:D25" si="1">C14*B14</f>
        <v>0</v>
      </c>
    </row>
    <row r="15" spans="1:11">
      <c r="A15" s="6" t="s">
        <v>118</v>
      </c>
      <c r="B15" s="114">
        <f>B16</f>
        <v>0</v>
      </c>
      <c r="C15" s="854"/>
      <c r="D15" s="794">
        <f t="shared" si="1"/>
        <v>0</v>
      </c>
    </row>
    <row r="16" spans="1:11">
      <c r="A16" s="7" t="s">
        <v>797</v>
      </c>
      <c r="B16" s="115">
        <f>B2*B4</f>
        <v>0</v>
      </c>
      <c r="C16" s="854"/>
      <c r="D16" s="794">
        <f t="shared" si="1"/>
        <v>0</v>
      </c>
    </row>
    <row r="17" spans="1:4">
      <c r="A17" s="6" t="s">
        <v>798</v>
      </c>
      <c r="B17" s="114">
        <f>B2*B4</f>
        <v>0</v>
      </c>
      <c r="C17" s="854"/>
      <c r="D17" s="794">
        <f t="shared" si="1"/>
        <v>0</v>
      </c>
    </row>
    <row r="18" spans="1:4">
      <c r="A18" s="7" t="s">
        <v>140</v>
      </c>
      <c r="B18" s="115">
        <f>2*B4</f>
        <v>0</v>
      </c>
      <c r="C18" s="855"/>
      <c r="D18" s="794">
        <f t="shared" si="1"/>
        <v>0</v>
      </c>
    </row>
    <row r="19" spans="1:4">
      <c r="A19" s="154" t="s">
        <v>799</v>
      </c>
      <c r="B19" s="155">
        <f>B4</f>
        <v>0</v>
      </c>
      <c r="C19" s="914"/>
      <c r="D19" s="794">
        <f t="shared" si="1"/>
        <v>0</v>
      </c>
    </row>
    <row r="20" spans="1:4">
      <c r="A20" s="7" t="s">
        <v>800</v>
      </c>
      <c r="B20" s="115">
        <f>B5</f>
        <v>0</v>
      </c>
      <c r="C20" s="914"/>
      <c r="D20" s="794">
        <f t="shared" si="1"/>
        <v>0</v>
      </c>
    </row>
    <row r="21" spans="1:4" hidden="1">
      <c r="A21" s="7" t="s">
        <v>801</v>
      </c>
      <c r="B21" s="115">
        <f>B4*2</f>
        <v>0</v>
      </c>
      <c r="C21" s="914"/>
      <c r="D21" s="794">
        <f t="shared" si="1"/>
        <v>0</v>
      </c>
    </row>
    <row r="22" spans="1:4">
      <c r="A22" s="154" t="s">
        <v>145</v>
      </c>
      <c r="B22" s="115">
        <f>B7</f>
        <v>0</v>
      </c>
      <c r="C22" s="914"/>
      <c r="D22" s="794">
        <f t="shared" si="1"/>
        <v>0</v>
      </c>
    </row>
    <row r="23" spans="1:4">
      <c r="A23" s="154" t="s">
        <v>148</v>
      </c>
      <c r="B23" s="115">
        <f>B6</f>
        <v>0</v>
      </c>
      <c r="C23" s="914"/>
      <c r="D23" s="794">
        <f t="shared" si="1"/>
        <v>0</v>
      </c>
    </row>
    <row r="24" spans="1:4">
      <c r="A24" s="154" t="s">
        <v>802</v>
      </c>
      <c r="B24" s="115">
        <f>B8</f>
        <v>0</v>
      </c>
      <c r="C24" s="914"/>
      <c r="D24" s="794">
        <f t="shared" si="1"/>
        <v>0</v>
      </c>
    </row>
    <row r="25" spans="1:4" ht="12" thickBot="1">
      <c r="A25" s="30" t="s">
        <v>803</v>
      </c>
      <c r="B25" s="120">
        <f>B8</f>
        <v>0</v>
      </c>
      <c r="C25" s="915"/>
      <c r="D25" s="4">
        <f t="shared" si="1"/>
        <v>0</v>
      </c>
    </row>
    <row r="26" spans="1:4" ht="12.75">
      <c r="C26" s="2" t="s">
        <v>9</v>
      </c>
      <c r="D26">
        <f>SUM(D11:D25)</f>
        <v>0</v>
      </c>
    </row>
    <row r="27" spans="1:4" ht="16.5" customHeight="1"/>
  </sheetData>
  <sheetProtection algorithmName="SHA-512" hashValue="MuRBtqRNBBer/RMIuN35O0AcvaAZni5cc1V/CLYlbCQFU2gNFUYaQfnfKzz/Og1XOS9eXibx3mGiQF5CyPo9ng==" saltValue="KVuSHtZGQlS9gLzUa7WuXg==" spinCount="100000" sheet="1" objects="1" scenarios="1"/>
  <mergeCells count="10">
    <mergeCell ref="C7:D7"/>
    <mergeCell ref="C8:D8"/>
    <mergeCell ref="A9:D9"/>
    <mergeCell ref="C5:D5"/>
    <mergeCell ref="F2:K3"/>
    <mergeCell ref="A1:D1"/>
    <mergeCell ref="C2:D2"/>
    <mergeCell ref="C3:D3"/>
    <mergeCell ref="C4:D4"/>
    <mergeCell ref="C6:D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K28"/>
  <sheetViews>
    <sheetView zoomScale="130" zoomScaleNormal="130" zoomScaleSheetLayoutView="100" workbookViewId="0">
      <selection activeCell="B2" sqref="B2:B9"/>
    </sheetView>
  </sheetViews>
  <sheetFormatPr defaultRowHeight="11.25"/>
  <cols>
    <col min="1" max="1" width="51.83203125" customWidth="1"/>
    <col min="2" max="2" width="10" customWidth="1"/>
    <col min="4" max="4" width="18" customWidth="1"/>
    <col min="11" max="11" width="11" customWidth="1"/>
  </cols>
  <sheetData>
    <row r="1" spans="1:11" ht="52.5" customHeight="1" thickBot="1">
      <c r="A1" s="1181" t="s">
        <v>793</v>
      </c>
      <c r="B1" s="1169"/>
      <c r="C1" s="1169"/>
      <c r="D1" s="1169"/>
    </row>
    <row r="2" spans="1:11" ht="11.25" customHeight="1">
      <c r="A2" s="110" t="s">
        <v>10</v>
      </c>
      <c r="B2" s="858">
        <v>0</v>
      </c>
      <c r="C2" s="1081" t="s">
        <v>125</v>
      </c>
      <c r="D2" s="1056"/>
      <c r="F2" s="1059" t="s">
        <v>122</v>
      </c>
      <c r="G2" s="1060"/>
      <c r="H2" s="1060"/>
      <c r="I2" s="1060"/>
      <c r="J2" s="1060"/>
      <c r="K2" s="1061"/>
    </row>
    <row r="3" spans="1:11" ht="12" thickBot="1">
      <c r="A3" s="112" t="s">
        <v>1</v>
      </c>
      <c r="B3" s="862">
        <v>0</v>
      </c>
      <c r="C3" s="1182" t="s">
        <v>30</v>
      </c>
      <c r="D3" s="1183"/>
      <c r="F3" s="1062"/>
      <c r="G3" s="1063"/>
      <c r="H3" s="1063"/>
      <c r="I3" s="1063"/>
      <c r="J3" s="1063"/>
      <c r="K3" s="1064"/>
    </row>
    <row r="4" spans="1:11">
      <c r="A4" s="122" t="s">
        <v>127</v>
      </c>
      <c r="B4" s="861">
        <v>2</v>
      </c>
      <c r="C4" s="1184" t="s">
        <v>128</v>
      </c>
      <c r="D4" s="1049"/>
      <c r="F4" s="121"/>
      <c r="G4" s="121"/>
      <c r="H4" s="121"/>
      <c r="I4" s="121"/>
      <c r="J4" s="121"/>
      <c r="K4" s="121"/>
    </row>
    <row r="5" spans="1:11">
      <c r="A5" s="111" t="s">
        <v>123</v>
      </c>
      <c r="B5" s="859">
        <v>0</v>
      </c>
      <c r="C5" s="1083" t="s">
        <v>30</v>
      </c>
      <c r="D5" s="1084"/>
    </row>
    <row r="6" spans="1:11" ht="12" thickBot="1">
      <c r="A6" s="145" t="s">
        <v>794</v>
      </c>
      <c r="B6" s="146">
        <v>0</v>
      </c>
      <c r="C6" s="1170" t="s">
        <v>30</v>
      </c>
      <c r="D6" s="1171"/>
    </row>
    <row r="7" spans="1:11" ht="12" thickBot="1">
      <c r="A7" s="825" t="s">
        <v>147</v>
      </c>
      <c r="B7" s="863">
        <v>0</v>
      </c>
      <c r="C7" s="1186" t="s">
        <v>30</v>
      </c>
      <c r="D7" s="1187"/>
    </row>
    <row r="8" spans="1:11" s="5" customFormat="1" ht="18" customHeight="1" thickBot="1">
      <c r="A8" s="825" t="s">
        <v>146</v>
      </c>
      <c r="B8" s="863">
        <v>0</v>
      </c>
      <c r="C8" s="1186" t="s">
        <v>30</v>
      </c>
      <c r="D8" s="1187"/>
      <c r="E8"/>
      <c r="F8"/>
      <c r="G8"/>
      <c r="H8"/>
      <c r="I8"/>
      <c r="J8"/>
      <c r="K8"/>
    </row>
    <row r="9" spans="1:11" ht="12" thickBot="1">
      <c r="A9" s="148" t="s">
        <v>143</v>
      </c>
      <c r="B9" s="153">
        <v>0</v>
      </c>
      <c r="C9" s="1188" t="s">
        <v>30</v>
      </c>
      <c r="D9" s="1189"/>
    </row>
    <row r="10" spans="1:11" ht="12" thickBot="1">
      <c r="A10" s="1185"/>
      <c r="B10" s="1185"/>
      <c r="C10" s="1185"/>
      <c r="D10" s="1185"/>
    </row>
    <row r="11" spans="1:11" ht="12.75">
      <c r="A11" s="98" t="s">
        <v>5</v>
      </c>
      <c r="B11" s="99" t="s">
        <v>0</v>
      </c>
      <c r="C11" s="119" t="s">
        <v>4</v>
      </c>
      <c r="D11" s="795" t="s">
        <v>8</v>
      </c>
      <c r="E11" s="5"/>
      <c r="F11" s="5"/>
      <c r="G11" s="5"/>
      <c r="H11" s="5"/>
      <c r="I11" s="5"/>
      <c r="J11" s="5"/>
      <c r="K11" s="5"/>
    </row>
    <row r="12" spans="1:11">
      <c r="A12" s="6" t="s">
        <v>795</v>
      </c>
      <c r="B12" s="114">
        <f>2*B5*B4</f>
        <v>0</v>
      </c>
      <c r="C12" s="854">
        <v>9</v>
      </c>
      <c r="D12" s="794">
        <f t="shared" ref="D12:D26" si="0">C12*B12</f>
        <v>0</v>
      </c>
    </row>
    <row r="13" spans="1:11">
      <c r="A13" s="6" t="s">
        <v>129</v>
      </c>
      <c r="B13" s="114">
        <f>(B4-1)*B5</f>
        <v>0</v>
      </c>
      <c r="C13" s="854"/>
      <c r="D13" s="794">
        <f t="shared" si="0"/>
        <v>0</v>
      </c>
    </row>
    <row r="14" spans="1:11">
      <c r="A14" s="6" t="s">
        <v>796</v>
      </c>
      <c r="B14" s="114">
        <f>2*B5</f>
        <v>0</v>
      </c>
      <c r="C14" s="854"/>
      <c r="D14" s="794">
        <f t="shared" si="0"/>
        <v>0</v>
      </c>
      <c r="E14" s="71"/>
      <c r="F14" s="71"/>
    </row>
    <row r="15" spans="1:11">
      <c r="A15" s="7" t="s">
        <v>119</v>
      </c>
      <c r="B15" s="115">
        <f>B2*B5</f>
        <v>0</v>
      </c>
      <c r="C15" s="854"/>
      <c r="D15" s="794">
        <f t="shared" si="0"/>
        <v>0</v>
      </c>
    </row>
    <row r="16" spans="1:11">
      <c r="A16" s="6" t="s">
        <v>118</v>
      </c>
      <c r="B16" s="114">
        <f>B15</f>
        <v>0</v>
      </c>
      <c r="C16" s="854"/>
      <c r="D16" s="794">
        <f t="shared" si="0"/>
        <v>0</v>
      </c>
    </row>
    <row r="17" spans="1:4">
      <c r="A17" s="7" t="s">
        <v>797</v>
      </c>
      <c r="B17" s="115">
        <f>B2*B5</f>
        <v>0</v>
      </c>
      <c r="C17" s="854"/>
      <c r="D17" s="794">
        <f t="shared" si="0"/>
        <v>0</v>
      </c>
    </row>
    <row r="18" spans="1:4">
      <c r="A18" s="6" t="s">
        <v>798</v>
      </c>
      <c r="B18" s="114">
        <f>B2*B5</f>
        <v>0</v>
      </c>
      <c r="C18" s="854"/>
      <c r="D18" s="794">
        <f t="shared" si="0"/>
        <v>0</v>
      </c>
    </row>
    <row r="19" spans="1:4">
      <c r="A19" s="7" t="s">
        <v>140</v>
      </c>
      <c r="B19" s="115">
        <f>B5</f>
        <v>0</v>
      </c>
      <c r="C19" s="855"/>
      <c r="D19" s="794">
        <f t="shared" si="0"/>
        <v>0</v>
      </c>
    </row>
    <row r="20" spans="1:4">
      <c r="A20" s="154" t="s">
        <v>799</v>
      </c>
      <c r="B20" s="155">
        <f>B13</f>
        <v>0</v>
      </c>
      <c r="C20" s="914"/>
      <c r="D20" s="794">
        <f t="shared" si="0"/>
        <v>0</v>
      </c>
    </row>
    <row r="21" spans="1:4">
      <c r="A21" s="7" t="s">
        <v>800</v>
      </c>
      <c r="B21" s="115">
        <f>B6</f>
        <v>0</v>
      </c>
      <c r="C21" s="914"/>
      <c r="D21" s="794">
        <f t="shared" si="0"/>
        <v>0</v>
      </c>
    </row>
    <row r="22" spans="1:4">
      <c r="A22" s="7" t="s">
        <v>801</v>
      </c>
      <c r="B22" s="115">
        <f>B5</f>
        <v>0</v>
      </c>
      <c r="C22" s="914"/>
      <c r="D22" s="794">
        <f t="shared" si="0"/>
        <v>0</v>
      </c>
    </row>
    <row r="23" spans="1:4">
      <c r="A23" s="154" t="s">
        <v>145</v>
      </c>
      <c r="B23" s="115">
        <f>B8</f>
        <v>0</v>
      </c>
      <c r="C23" s="914"/>
      <c r="D23" s="794">
        <f t="shared" si="0"/>
        <v>0</v>
      </c>
    </row>
    <row r="24" spans="1:4">
      <c r="A24" s="154" t="s">
        <v>148</v>
      </c>
      <c r="B24" s="115">
        <f>B7</f>
        <v>0</v>
      </c>
      <c r="C24" s="914"/>
      <c r="D24" s="794">
        <f t="shared" si="0"/>
        <v>0</v>
      </c>
    </row>
    <row r="25" spans="1:4">
      <c r="A25" s="154" t="s">
        <v>802</v>
      </c>
      <c r="B25" s="115">
        <f>B9</f>
        <v>0</v>
      </c>
      <c r="C25" s="914"/>
      <c r="D25" s="794">
        <f t="shared" si="0"/>
        <v>0</v>
      </c>
    </row>
    <row r="26" spans="1:4" ht="12" thickBot="1">
      <c r="A26" s="30" t="s">
        <v>803</v>
      </c>
      <c r="B26" s="120">
        <f>B9</f>
        <v>0</v>
      </c>
      <c r="C26" s="915"/>
      <c r="D26" s="4">
        <f t="shared" si="0"/>
        <v>0</v>
      </c>
    </row>
    <row r="27" spans="1:4" ht="12.75">
      <c r="C27" s="2" t="s">
        <v>9</v>
      </c>
      <c r="D27">
        <f>SUM(D12:D26)</f>
        <v>0</v>
      </c>
    </row>
    <row r="28" spans="1:4" ht="16.5" customHeight="1"/>
  </sheetData>
  <sheetProtection algorithmName="SHA-512" hashValue="ISwTgDIL2NU/7Ca/YFUhtakUx9haCR7ZeBTiqUlHDf3zR6oM6aRzQ5t1rsmWyhe686sU1zgWGBHScrtIfHkO7A==" saltValue="uGVnn7xeEuh3KqMQVxeBag==" spinCount="100000" sheet="1" objects="1" scenarios="1"/>
  <mergeCells count="11">
    <mergeCell ref="C8:D8"/>
    <mergeCell ref="C9:D9"/>
    <mergeCell ref="A10:D10"/>
    <mergeCell ref="C5:D5"/>
    <mergeCell ref="F2:K3"/>
    <mergeCell ref="C7:D7"/>
    <mergeCell ref="A1:D1"/>
    <mergeCell ref="C2:D2"/>
    <mergeCell ref="C3:D3"/>
    <mergeCell ref="C4:D4"/>
    <mergeCell ref="C6:D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160" zoomScaleNormal="160" workbookViewId="0">
      <selection activeCell="C9" sqref="C9:C20"/>
    </sheetView>
  </sheetViews>
  <sheetFormatPr defaultRowHeight="11.25"/>
  <cols>
    <col min="1" max="1" width="47.5" customWidth="1"/>
    <col min="4" max="4" width="11" customWidth="1"/>
  </cols>
  <sheetData>
    <row r="1" spans="1:11" ht="69" customHeight="1" thickBot="1">
      <c r="A1" s="1181" t="s">
        <v>834</v>
      </c>
      <c r="B1" s="1169"/>
      <c r="C1" s="1169"/>
      <c r="D1" s="1169"/>
    </row>
    <row r="2" spans="1:11">
      <c r="A2" s="110" t="s">
        <v>10</v>
      </c>
      <c r="B2" s="834">
        <v>0</v>
      </c>
      <c r="D2" s="1059" t="s">
        <v>122</v>
      </c>
      <c r="E2" s="1060"/>
      <c r="F2" s="1060"/>
      <c r="G2" s="1060"/>
      <c r="H2" s="1060"/>
      <c r="I2" s="1061"/>
    </row>
    <row r="3" spans="1:11" ht="12" thickBot="1">
      <c r="A3" s="112" t="s">
        <v>1</v>
      </c>
      <c r="B3" s="835">
        <v>0</v>
      </c>
      <c r="D3" s="1062"/>
      <c r="E3" s="1063"/>
      <c r="F3" s="1063"/>
      <c r="G3" s="1063"/>
      <c r="H3" s="1063"/>
      <c r="I3" s="1064"/>
    </row>
    <row r="4" spans="1:11" ht="12" thickBot="1">
      <c r="A4" s="111" t="s">
        <v>123</v>
      </c>
      <c r="B4" s="836">
        <v>0</v>
      </c>
    </row>
    <row r="5" spans="1:11" ht="12" thickBot="1">
      <c r="A5" s="825" t="s">
        <v>147</v>
      </c>
      <c r="B5" s="908">
        <v>0</v>
      </c>
    </row>
    <row r="6" spans="1:11" ht="12" thickBot="1">
      <c r="A6" s="825" t="s">
        <v>146</v>
      </c>
      <c r="B6" s="908">
        <v>0</v>
      </c>
    </row>
    <row r="7" spans="1:11" ht="12" thickBot="1">
      <c r="A7" s="1185"/>
      <c r="B7" s="1185"/>
      <c r="C7" s="1185"/>
      <c r="D7" s="1185"/>
    </row>
    <row r="8" spans="1:11" ht="12.75">
      <c r="A8" s="98" t="s">
        <v>5</v>
      </c>
      <c r="B8" s="99" t="s">
        <v>0</v>
      </c>
      <c r="C8" s="119" t="s">
        <v>4</v>
      </c>
      <c r="D8" s="844" t="s">
        <v>8</v>
      </c>
      <c r="E8" s="5"/>
      <c r="F8" s="5"/>
      <c r="G8" s="5"/>
      <c r="H8" s="5"/>
      <c r="I8" s="5"/>
      <c r="J8" s="5"/>
      <c r="K8" s="5"/>
    </row>
    <row r="9" spans="1:11">
      <c r="A9" s="845" t="s">
        <v>835</v>
      </c>
      <c r="B9" s="114">
        <f>(B2-0.05)*B4</f>
        <v>0</v>
      </c>
      <c r="C9" s="854">
        <v>9</v>
      </c>
      <c r="D9" s="843">
        <f t="shared" ref="D9:D20" si="0">C9*B9</f>
        <v>0</v>
      </c>
    </row>
    <row r="10" spans="1:11">
      <c r="A10" s="845" t="s">
        <v>525</v>
      </c>
      <c r="B10" s="114">
        <f>(B2-0.063)*B4</f>
        <v>0</v>
      </c>
      <c r="C10" s="854"/>
      <c r="D10" s="843">
        <f t="shared" si="0"/>
        <v>0</v>
      </c>
    </row>
    <row r="11" spans="1:11">
      <c r="A11" s="845" t="s">
        <v>836</v>
      </c>
      <c r="B11" s="114">
        <f>2*B4</f>
        <v>0</v>
      </c>
      <c r="C11" s="854"/>
      <c r="D11" s="843">
        <f t="shared" si="0"/>
        <v>0</v>
      </c>
      <c r="E11" s="71"/>
      <c r="F11" s="71"/>
    </row>
    <row r="12" spans="1:11">
      <c r="A12" s="846" t="s">
        <v>837</v>
      </c>
      <c r="B12" s="115">
        <f>(B2-0.055)*B4</f>
        <v>0</v>
      </c>
      <c r="C12" s="854"/>
      <c r="D12" s="843">
        <f t="shared" si="0"/>
        <v>0</v>
      </c>
    </row>
    <row r="13" spans="1:11">
      <c r="A13" s="845" t="s">
        <v>838</v>
      </c>
      <c r="B13" s="114">
        <f>2*B4</f>
        <v>0</v>
      </c>
      <c r="C13" s="854"/>
      <c r="D13" s="843">
        <f t="shared" si="0"/>
        <v>0</v>
      </c>
    </row>
    <row r="14" spans="1:11">
      <c r="A14" s="846" t="s">
        <v>839</v>
      </c>
      <c r="B14" s="115">
        <f>B4</f>
        <v>0</v>
      </c>
      <c r="C14" s="854"/>
      <c r="D14" s="843">
        <f t="shared" si="0"/>
        <v>0</v>
      </c>
    </row>
    <row r="15" spans="1:11">
      <c r="A15" s="845" t="s">
        <v>840</v>
      </c>
      <c r="B15" s="114">
        <f>B4</f>
        <v>0</v>
      </c>
      <c r="C15" s="854"/>
      <c r="D15" s="843">
        <f t="shared" si="0"/>
        <v>0</v>
      </c>
    </row>
    <row r="16" spans="1:11">
      <c r="A16" s="846" t="s">
        <v>841</v>
      </c>
      <c r="B16" s="115">
        <f>B4*2</f>
        <v>0</v>
      </c>
      <c r="C16" s="855"/>
      <c r="D16" s="843">
        <f t="shared" si="0"/>
        <v>0</v>
      </c>
    </row>
    <row r="17" spans="1:4">
      <c r="A17" s="846" t="s">
        <v>842</v>
      </c>
      <c r="B17" s="115">
        <f>B4</f>
        <v>0</v>
      </c>
      <c r="C17" s="855"/>
      <c r="D17" s="843">
        <f t="shared" si="0"/>
        <v>0</v>
      </c>
    </row>
    <row r="18" spans="1:4">
      <c r="A18" s="846" t="s">
        <v>843</v>
      </c>
      <c r="B18" s="115">
        <f>B4</f>
        <v>0</v>
      </c>
      <c r="C18" s="855"/>
      <c r="D18" s="843">
        <f t="shared" si="0"/>
        <v>0</v>
      </c>
    </row>
    <row r="19" spans="1:4">
      <c r="A19" s="846" t="s">
        <v>145</v>
      </c>
      <c r="B19" s="115">
        <f>B6</f>
        <v>0</v>
      </c>
      <c r="C19" s="855"/>
      <c r="D19" s="843">
        <f t="shared" si="0"/>
        <v>0</v>
      </c>
    </row>
    <row r="20" spans="1:4">
      <c r="A20" s="846" t="s">
        <v>148</v>
      </c>
      <c r="B20" s="115">
        <f>B5</f>
        <v>0</v>
      </c>
      <c r="C20" s="855"/>
      <c r="D20" s="843">
        <f t="shared" si="0"/>
        <v>0</v>
      </c>
    </row>
    <row r="21" spans="1:4" ht="12.75">
      <c r="C21" s="2" t="s">
        <v>9</v>
      </c>
      <c r="D21">
        <f>SUM(D9:D20)</f>
        <v>0</v>
      </c>
    </row>
  </sheetData>
  <sheetProtection algorithmName="SHA-512" hashValue="jEC9zHKLQVE+wFv/ZkyN7IEdTeScDihWoO9HMMIAjHxyBEIIECb5peOxP/0PIol5lSpbg1GdP4m3i9hjIQiitg==" saltValue="mN5GzZVI4Co4Cb7SVAUyUQ==" spinCount="100000" sheet="1" objects="1" scenarios="1"/>
  <mergeCells count="3">
    <mergeCell ref="A7:D7"/>
    <mergeCell ref="A1:D1"/>
    <mergeCell ref="D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37"/>
  <sheetViews>
    <sheetView zoomScale="130" zoomScaleNormal="130" workbookViewId="0">
      <selection activeCell="H19" sqref="H19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1057" t="s">
        <v>132</v>
      </c>
      <c r="B1" s="1058"/>
      <c r="C1" s="1058"/>
      <c r="D1" s="1058"/>
      <c r="E1" s="281"/>
      <c r="F1" s="11"/>
    </row>
    <row r="2" spans="1:13" ht="14.25">
      <c r="A2" s="8" t="s">
        <v>3</v>
      </c>
      <c r="B2" s="12"/>
      <c r="C2" s="13"/>
      <c r="D2" s="13"/>
      <c r="E2" s="13"/>
      <c r="F2" s="14"/>
      <c r="H2" s="1059" t="s">
        <v>122</v>
      </c>
      <c r="I2" s="1060"/>
      <c r="J2" s="1060"/>
      <c r="K2" s="1060"/>
      <c r="L2" s="1060"/>
      <c r="M2" s="1061"/>
    </row>
    <row r="3" spans="1:13" ht="12" thickBot="1">
      <c r="A3" s="9" t="s">
        <v>10</v>
      </c>
      <c r="B3" s="871">
        <v>1.4</v>
      </c>
      <c r="C3" s="13"/>
      <c r="D3" s="13"/>
      <c r="E3" s="13"/>
      <c r="F3" s="14"/>
      <c r="H3" s="1062"/>
      <c r="I3" s="1063"/>
      <c r="J3" s="1063"/>
      <c r="K3" s="1063"/>
      <c r="L3" s="1063"/>
      <c r="M3" s="1064"/>
    </row>
    <row r="4" spans="1:13">
      <c r="A4" s="9" t="s">
        <v>1</v>
      </c>
      <c r="B4" s="871">
        <v>1</v>
      </c>
      <c r="C4" s="13"/>
      <c r="D4" s="13"/>
      <c r="E4" s="13"/>
      <c r="F4" s="14"/>
    </row>
    <row r="5" spans="1:13">
      <c r="A5" s="9" t="s">
        <v>2</v>
      </c>
      <c r="B5" s="871">
        <v>1</v>
      </c>
      <c r="C5" s="13"/>
      <c r="D5" s="13"/>
      <c r="E5" s="13"/>
      <c r="F5" s="14"/>
    </row>
    <row r="6" spans="1:13">
      <c r="A6" s="9" t="s">
        <v>130</v>
      </c>
      <c r="B6" s="871">
        <v>10</v>
      </c>
      <c r="C6" s="13"/>
      <c r="D6" s="13"/>
      <c r="E6" s="13"/>
      <c r="F6" s="14"/>
    </row>
    <row r="7" spans="1:13">
      <c r="A7" s="9" t="s">
        <v>568</v>
      </c>
      <c r="B7" s="871">
        <v>2</v>
      </c>
      <c r="C7" s="13"/>
      <c r="D7" s="13"/>
      <c r="E7" s="13"/>
      <c r="F7" s="14"/>
    </row>
    <row r="8" spans="1:13">
      <c r="A8" s="9" t="s">
        <v>571</v>
      </c>
      <c r="B8" s="871">
        <v>2</v>
      </c>
      <c r="C8" s="13"/>
      <c r="D8" s="13"/>
      <c r="E8" s="13"/>
      <c r="F8" s="14"/>
    </row>
    <row r="9" spans="1:13" ht="12" thickBot="1">
      <c r="A9" s="10" t="s">
        <v>99</v>
      </c>
      <c r="B9" s="872">
        <v>50</v>
      </c>
      <c r="C9" s="13"/>
      <c r="D9" s="13"/>
      <c r="E9" s="13"/>
      <c r="F9" s="14"/>
    </row>
    <row r="10" spans="1:13">
      <c r="A10" s="16"/>
      <c r="B10" s="17"/>
      <c r="C10" s="13"/>
      <c r="D10" s="13"/>
      <c r="E10" s="13"/>
      <c r="F10" s="14"/>
    </row>
    <row r="11" spans="1:13" ht="12" thickBot="1">
      <c r="A11" s="18" t="s">
        <v>11</v>
      </c>
      <c r="B11" s="19"/>
      <c r="C11" s="19"/>
      <c r="D11" s="19"/>
      <c r="E11" s="19"/>
      <c r="F11" s="14"/>
    </row>
    <row r="12" spans="1:13">
      <c r="A12" s="20"/>
      <c r="B12" s="21" t="s">
        <v>12</v>
      </c>
      <c r="C12" s="22" t="s">
        <v>4</v>
      </c>
      <c r="D12" s="22" t="s">
        <v>13</v>
      </c>
      <c r="E12" s="12"/>
      <c r="F12" s="14"/>
    </row>
    <row r="13" spans="1:13" ht="12.75" customHeight="1">
      <c r="A13" s="23" t="s">
        <v>104</v>
      </c>
      <c r="B13" s="24"/>
      <c r="C13" s="743"/>
      <c r="D13" s="123">
        <f>4*B5</f>
        <v>4</v>
      </c>
      <c r="E13" s="26">
        <f t="shared" ref="E13:E23" si="0">D13*C13</f>
        <v>0</v>
      </c>
      <c r="F13" s="14"/>
    </row>
    <row r="14" spans="1:13">
      <c r="A14" s="23" t="s">
        <v>230</v>
      </c>
      <c r="B14" s="24"/>
      <c r="C14" s="743"/>
      <c r="D14" s="123">
        <f>B5</f>
        <v>1</v>
      </c>
      <c r="E14" s="26">
        <f t="shared" si="0"/>
        <v>0</v>
      </c>
      <c r="F14" s="14"/>
    </row>
    <row r="15" spans="1:13">
      <c r="A15" s="23" t="s">
        <v>565</v>
      </c>
      <c r="B15" s="24"/>
      <c r="C15" s="743"/>
      <c r="D15" s="123">
        <f>(B3-0.002)*B5</f>
        <v>1.3979999999999999</v>
      </c>
      <c r="E15" s="26">
        <f t="shared" si="0"/>
        <v>0</v>
      </c>
      <c r="F15" s="14"/>
    </row>
    <row r="16" spans="1:13">
      <c r="A16" s="23" t="s">
        <v>14</v>
      </c>
      <c r="B16" s="24"/>
      <c r="C16" s="743"/>
      <c r="D16" s="123">
        <f>B3*B5</f>
        <v>1.4</v>
      </c>
      <c r="E16" s="26">
        <f t="shared" si="0"/>
        <v>0</v>
      </c>
      <c r="F16" s="14"/>
    </row>
    <row r="17" spans="1:6">
      <c r="A17" s="27" t="s">
        <v>15</v>
      </c>
      <c r="B17" s="28"/>
      <c r="C17" s="745"/>
      <c r="D17" s="123">
        <f>B5*2</f>
        <v>2</v>
      </c>
      <c r="E17" s="26">
        <f t="shared" si="0"/>
        <v>0</v>
      </c>
      <c r="F17" s="14"/>
    </row>
    <row r="18" spans="1:6">
      <c r="A18" s="23" t="s">
        <v>16</v>
      </c>
      <c r="B18" s="24"/>
      <c r="C18" s="743"/>
      <c r="D18" s="123">
        <f>(B4-0.04)*2*B5</f>
        <v>1.92</v>
      </c>
      <c r="E18" s="26">
        <f t="shared" si="0"/>
        <v>0</v>
      </c>
      <c r="F18" s="14"/>
    </row>
    <row r="19" spans="1:6">
      <c r="A19" s="23" t="s">
        <v>17</v>
      </c>
      <c r="B19" s="24"/>
      <c r="C19" s="743"/>
      <c r="D19" s="123">
        <f>(B3-0.015)*B5</f>
        <v>1.385</v>
      </c>
      <c r="E19" s="26">
        <f t="shared" si="0"/>
        <v>0</v>
      </c>
      <c r="F19" s="14"/>
    </row>
    <row r="20" spans="1:6">
      <c r="A20" s="23" t="s">
        <v>18</v>
      </c>
      <c r="B20" s="24"/>
      <c r="C20" s="743"/>
      <c r="D20" s="123">
        <f>B4*B5*2</f>
        <v>2</v>
      </c>
      <c r="E20" s="26">
        <f t="shared" si="0"/>
        <v>0</v>
      </c>
      <c r="F20" s="14"/>
    </row>
    <row r="21" spans="1:6">
      <c r="A21" s="23" t="s">
        <v>19</v>
      </c>
      <c r="B21" s="24"/>
      <c r="C21" s="748"/>
      <c r="D21" s="123">
        <f>B3*B5</f>
        <v>1.4</v>
      </c>
      <c r="E21" s="26">
        <f t="shared" si="0"/>
        <v>0</v>
      </c>
      <c r="F21" s="14"/>
    </row>
    <row r="22" spans="1:6">
      <c r="A22" s="23" t="s">
        <v>20</v>
      </c>
      <c r="B22" s="24"/>
      <c r="C22" s="748"/>
      <c r="D22" s="123">
        <f>B3*B5</f>
        <v>1.4</v>
      </c>
      <c r="E22" s="26">
        <f t="shared" si="0"/>
        <v>0</v>
      </c>
      <c r="F22" s="14"/>
    </row>
    <row r="23" spans="1:6">
      <c r="A23" s="23" t="s">
        <v>21</v>
      </c>
      <c r="B23" s="24"/>
      <c r="C23" s="743"/>
      <c r="D23" s="123">
        <f>B3*B5</f>
        <v>1.4</v>
      </c>
      <c r="E23" s="26">
        <f t="shared" si="0"/>
        <v>0</v>
      </c>
      <c r="F23" s="14"/>
    </row>
    <row r="24" spans="1:6">
      <c r="A24" s="23" t="s">
        <v>566</v>
      </c>
      <c r="B24" s="24"/>
      <c r="C24" s="743"/>
      <c r="D24" s="123">
        <f>B5</f>
        <v>1</v>
      </c>
      <c r="E24" s="26">
        <f>C24*D24</f>
        <v>0</v>
      </c>
      <c r="F24" s="14"/>
    </row>
    <row r="25" spans="1:6">
      <c r="A25" s="23" t="s">
        <v>570</v>
      </c>
      <c r="B25" s="24"/>
      <c r="C25" s="748"/>
      <c r="D25" s="123">
        <f>B8</f>
        <v>2</v>
      </c>
      <c r="E25" s="26">
        <f>D25*C25</f>
        <v>0</v>
      </c>
      <c r="F25" s="14"/>
    </row>
    <row r="26" spans="1:6">
      <c r="A26" s="23" t="s">
        <v>569</v>
      </c>
      <c r="B26" s="24"/>
      <c r="C26" s="748"/>
      <c r="D26" s="123">
        <f>B6</f>
        <v>10</v>
      </c>
      <c r="E26" s="26">
        <f>D26*C26</f>
        <v>0</v>
      </c>
      <c r="F26" s="14"/>
    </row>
    <row r="27" spans="1:6">
      <c r="A27" s="24" t="s">
        <v>567</v>
      </c>
      <c r="B27" s="282"/>
      <c r="C27" s="842"/>
      <c r="D27" s="282">
        <f>B7</f>
        <v>2</v>
      </c>
      <c r="E27" s="26">
        <f>D27*C27</f>
        <v>0</v>
      </c>
      <c r="F27" s="14"/>
    </row>
    <row r="28" spans="1:6">
      <c r="A28" s="16"/>
      <c r="B28" s="13"/>
      <c r="C28" s="868"/>
      <c r="D28" s="13"/>
      <c r="E28" s="35">
        <f>SUM(E13:E26)</f>
        <v>0</v>
      </c>
      <c r="F28" s="14"/>
    </row>
    <row r="29" spans="1:6">
      <c r="A29" s="16"/>
      <c r="B29" s="13"/>
      <c r="C29" s="868"/>
      <c r="D29" s="13"/>
      <c r="E29" s="13"/>
      <c r="F29" s="14"/>
    </row>
    <row r="30" spans="1:6" ht="12" thickBot="1">
      <c r="A30" s="18" t="s">
        <v>22</v>
      </c>
      <c r="B30" s="19"/>
      <c r="C30" s="869"/>
      <c r="D30" s="19"/>
      <c r="E30" s="13"/>
      <c r="F30" s="14"/>
    </row>
    <row r="31" spans="1:6">
      <c r="A31" s="36" t="s">
        <v>35</v>
      </c>
      <c r="B31" s="21"/>
      <c r="C31" s="870"/>
      <c r="D31" s="21"/>
      <c r="E31" s="12"/>
      <c r="F31" s="14"/>
    </row>
    <row r="32" spans="1:6">
      <c r="A32" s="23" t="s">
        <v>23</v>
      </c>
      <c r="B32" s="24"/>
      <c r="C32" s="743"/>
      <c r="D32" s="123">
        <f>B9</f>
        <v>50</v>
      </c>
      <c r="E32" s="26">
        <f>D32*C32</f>
        <v>0</v>
      </c>
      <c r="F32" s="14"/>
    </row>
    <row r="33" spans="1:6">
      <c r="A33" s="23" t="s">
        <v>24</v>
      </c>
      <c r="B33" s="24"/>
      <c r="C33" s="743"/>
      <c r="D33" s="123">
        <f>B3*B9</f>
        <v>70</v>
      </c>
      <c r="E33" s="26">
        <f>D33*C33</f>
        <v>0</v>
      </c>
      <c r="F33" s="14"/>
    </row>
    <row r="34" spans="1:6" ht="12" thickBot="1">
      <c r="A34" s="30" t="s">
        <v>25</v>
      </c>
      <c r="B34" s="31"/>
      <c r="C34" s="755"/>
      <c r="D34" s="33">
        <f>(B3+0.2)*B9</f>
        <v>80</v>
      </c>
      <c r="E34" s="34">
        <f>D34*C34</f>
        <v>0</v>
      </c>
      <c r="F34" s="14"/>
    </row>
    <row r="35" spans="1:6">
      <c r="A35" s="1065" t="s">
        <v>26</v>
      </c>
      <c r="B35" s="1066"/>
      <c r="C35" s="1066"/>
      <c r="D35" s="1067"/>
      <c r="E35" s="37">
        <f>SUM(E32:E34)+E28</f>
        <v>0</v>
      </c>
      <c r="F35" s="14"/>
    </row>
    <row r="36" spans="1:6">
      <c r="A36" s="40"/>
      <c r="B36" s="13"/>
      <c r="C36" s="13"/>
      <c r="D36" s="13"/>
      <c r="E36" s="35"/>
      <c r="F36" s="14"/>
    </row>
    <row r="37" spans="1:6" ht="15.75" thickBot="1">
      <c r="A37" s="41" t="s">
        <v>28</v>
      </c>
      <c r="B37" s="38"/>
      <c r="C37" s="38"/>
      <c r="D37" s="38"/>
      <c r="E37" s="38"/>
      <c r="F37" s="39"/>
    </row>
  </sheetData>
  <sheetProtection algorithmName="SHA-512" hashValue="v3lK0My3CSnvWODVg2f2ORM7/xKOtyUQgFqsxAv235xaXxjMie83kFhoBd2w+SPEatQAKGozP13pehz5PNip+Q==" saltValue="kXHO7EfBuAwTeiPtn5/PwA==" spinCount="100000" sheet="1" objects="1" scenarios="1"/>
  <mergeCells count="3">
    <mergeCell ref="A1:D1"/>
    <mergeCell ref="H2:M3"/>
    <mergeCell ref="A35:D35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K65"/>
  <sheetViews>
    <sheetView topLeftCell="A25" workbookViewId="0">
      <selection activeCell="H48" sqref="H48:I48"/>
    </sheetView>
  </sheetViews>
  <sheetFormatPr defaultRowHeight="11.25"/>
  <cols>
    <col min="1" max="1" width="60.1640625" customWidth="1"/>
    <col min="2" max="2" width="23" customWidth="1"/>
    <col min="3" max="3" width="6.83203125" bestFit="1" customWidth="1"/>
    <col min="4" max="4" width="17.5" customWidth="1"/>
    <col min="11" max="11" width="18" customWidth="1"/>
  </cols>
  <sheetData>
    <row r="1" spans="1:11" ht="27" thickBot="1">
      <c r="A1" s="1053" t="s">
        <v>177</v>
      </c>
      <c r="B1" s="1054"/>
      <c r="C1" s="1054"/>
      <c r="D1" s="1076"/>
    </row>
    <row r="2" spans="1:11" ht="15" thickBot="1">
      <c r="A2" s="1077" t="s">
        <v>3</v>
      </c>
      <c r="B2" s="1078"/>
      <c r="C2" s="1078"/>
      <c r="D2" s="1079"/>
      <c r="F2" s="1059" t="s">
        <v>122</v>
      </c>
      <c r="G2" s="1060"/>
      <c r="H2" s="1060"/>
      <c r="I2" s="1060"/>
      <c r="J2" s="1060"/>
      <c r="K2" s="1061"/>
    </row>
    <row r="3" spans="1:11" ht="12" thickBot="1">
      <c r="A3" s="45" t="s">
        <v>178</v>
      </c>
      <c r="B3" s="885">
        <v>1</v>
      </c>
      <c r="C3" s="1190" t="s">
        <v>30</v>
      </c>
      <c r="D3" s="1190"/>
      <c r="F3" s="1062"/>
      <c r="G3" s="1063"/>
      <c r="H3" s="1063"/>
      <c r="I3" s="1063"/>
      <c r="J3" s="1063"/>
      <c r="K3" s="1064"/>
    </row>
    <row r="4" spans="1:11" ht="12" thickBot="1">
      <c r="A4" s="46" t="s">
        <v>179</v>
      </c>
      <c r="B4" s="891">
        <v>1</v>
      </c>
      <c r="C4" s="1191" t="s">
        <v>30</v>
      </c>
      <c r="D4" s="1191"/>
    </row>
    <row r="5" spans="1:11">
      <c r="A5" s="190" t="s">
        <v>180</v>
      </c>
      <c r="B5" s="917">
        <v>1</v>
      </c>
      <c r="C5" s="1192" t="s">
        <v>30</v>
      </c>
      <c r="D5" s="1192"/>
    </row>
    <row r="6" spans="1:11">
      <c r="A6" s="49" t="s">
        <v>181</v>
      </c>
      <c r="B6" s="903">
        <v>0</v>
      </c>
      <c r="C6" s="1193" t="s">
        <v>30</v>
      </c>
      <c r="D6" s="1193"/>
    </row>
    <row r="7" spans="1:11" ht="12" thickBot="1">
      <c r="A7" s="191" t="s">
        <v>182</v>
      </c>
      <c r="B7" s="896">
        <v>0</v>
      </c>
      <c r="C7" s="1194" t="s">
        <v>30</v>
      </c>
      <c r="D7" s="1194"/>
    </row>
    <row r="8" spans="1:11">
      <c r="A8" s="172" t="s">
        <v>157</v>
      </c>
      <c r="B8" s="904">
        <v>1</v>
      </c>
      <c r="C8" s="1192" t="s">
        <v>30</v>
      </c>
      <c r="D8" s="1192"/>
    </row>
    <row r="9" spans="1:11">
      <c r="A9" s="152" t="s">
        <v>144</v>
      </c>
      <c r="B9" s="895">
        <v>2</v>
      </c>
      <c r="C9" s="1207" t="s">
        <v>30</v>
      </c>
      <c r="D9" s="1207"/>
      <c r="E9" s="192"/>
      <c r="H9" s="71"/>
      <c r="I9" s="71"/>
      <c r="J9" s="71"/>
    </row>
    <row r="10" spans="1:11" ht="12" thickBot="1">
      <c r="A10" s="139" t="s">
        <v>147</v>
      </c>
      <c r="B10" s="896">
        <v>3</v>
      </c>
      <c r="C10" s="1194" t="s">
        <v>30</v>
      </c>
      <c r="D10" s="1194"/>
      <c r="E10" s="193"/>
      <c r="H10" s="71"/>
      <c r="I10" s="71"/>
      <c r="J10" s="71"/>
    </row>
    <row r="11" spans="1:11" ht="12" thickBot="1">
      <c r="A11" s="1195" t="s">
        <v>183</v>
      </c>
      <c r="B11" s="1195"/>
      <c r="C11" s="1195"/>
      <c r="D11" s="1195"/>
    </row>
    <row r="12" spans="1:11">
      <c r="A12" s="180" t="s">
        <v>184</v>
      </c>
      <c r="B12" s="918">
        <v>1</v>
      </c>
      <c r="C12" s="1196" t="s">
        <v>33</v>
      </c>
      <c r="D12" s="1197"/>
    </row>
    <row r="13" spans="1:11">
      <c r="A13" s="181" t="s">
        <v>185</v>
      </c>
      <c r="B13" s="919">
        <v>0</v>
      </c>
      <c r="C13" s="1125" t="s">
        <v>33</v>
      </c>
      <c r="D13" s="1126"/>
    </row>
    <row r="14" spans="1:11">
      <c r="A14" s="181" t="s">
        <v>186</v>
      </c>
      <c r="B14" s="920">
        <v>0</v>
      </c>
      <c r="C14" s="1127" t="s">
        <v>33</v>
      </c>
      <c r="D14" s="1129"/>
    </row>
    <row r="15" spans="1:11" ht="12" thickBot="1">
      <c r="A15" s="1208"/>
      <c r="B15" s="1209"/>
      <c r="C15" s="1209"/>
      <c r="D15" s="1210"/>
    </row>
    <row r="16" spans="1:11">
      <c r="A16" s="182" t="s">
        <v>187</v>
      </c>
      <c r="B16" s="921">
        <f>CEILING((B3-0.1)/0.4,1)+1</f>
        <v>4</v>
      </c>
      <c r="C16" s="1211" t="s">
        <v>29</v>
      </c>
      <c r="D16" s="1212"/>
    </row>
    <row r="17" spans="1:4" ht="12" thickBot="1">
      <c r="A17" s="183" t="s">
        <v>188</v>
      </c>
      <c r="B17" s="922">
        <f>SUM(B5:B7)</f>
        <v>1</v>
      </c>
      <c r="C17" s="1213" t="s">
        <v>29</v>
      </c>
      <c r="D17" s="1214"/>
    </row>
    <row r="18" spans="1:4" ht="12" thickBot="1">
      <c r="A18" s="1215"/>
      <c r="B18" s="1215"/>
      <c r="C18" s="1215"/>
      <c r="D18" s="1215"/>
    </row>
    <row r="19" spans="1:4" ht="12.75">
      <c r="A19" s="57" t="s">
        <v>7</v>
      </c>
      <c r="B19" s="100" t="s">
        <v>0</v>
      </c>
      <c r="C19" s="58" t="s">
        <v>4</v>
      </c>
      <c r="D19" s="59" t="s">
        <v>8</v>
      </c>
    </row>
    <row r="20" spans="1:4">
      <c r="A20" s="52" t="s">
        <v>189</v>
      </c>
      <c r="B20" s="163">
        <f>B3*B17</f>
        <v>1</v>
      </c>
      <c r="C20" s="842">
        <v>9</v>
      </c>
      <c r="D20" s="164">
        <f t="shared" ref="D20:D43" si="0">B20*C20</f>
        <v>9</v>
      </c>
    </row>
    <row r="21" spans="1:4">
      <c r="A21" s="184" t="s">
        <v>190</v>
      </c>
      <c r="B21" s="81">
        <f>B3*B17</f>
        <v>1</v>
      </c>
      <c r="C21" s="842"/>
      <c r="D21" s="164">
        <f t="shared" si="0"/>
        <v>0</v>
      </c>
    </row>
    <row r="22" spans="1:4">
      <c r="A22" s="184" t="s">
        <v>191</v>
      </c>
      <c r="B22" s="82">
        <f>(B3-0.026)*B6</f>
        <v>0</v>
      </c>
      <c r="C22" s="839"/>
      <c r="D22" s="166">
        <f t="shared" si="0"/>
        <v>0</v>
      </c>
    </row>
    <row r="23" spans="1:4">
      <c r="A23" s="184" t="s">
        <v>192</v>
      </c>
      <c r="B23" s="81">
        <f>(B3-0.07)*B17</f>
        <v>0.92999999999999994</v>
      </c>
      <c r="C23" s="842"/>
      <c r="D23" s="164">
        <f t="shared" si="0"/>
        <v>0</v>
      </c>
    </row>
    <row r="24" spans="1:4">
      <c r="A24" s="184" t="s">
        <v>193</v>
      </c>
      <c r="B24" s="82">
        <f>(B3-0.002)*B17*2</f>
        <v>1.996</v>
      </c>
      <c r="C24" s="839"/>
      <c r="D24" s="166">
        <f t="shared" si="0"/>
        <v>0</v>
      </c>
    </row>
    <row r="25" spans="1:4" ht="11.25" customHeight="1">
      <c r="A25" s="184" t="s">
        <v>194</v>
      </c>
      <c r="B25" s="82">
        <f>B3*B17</f>
        <v>1</v>
      </c>
      <c r="C25" s="839"/>
      <c r="D25" s="166">
        <f t="shared" si="0"/>
        <v>0</v>
      </c>
    </row>
    <row r="26" spans="1:4">
      <c r="A26" s="184" t="s">
        <v>195</v>
      </c>
      <c r="B26" s="82">
        <f>(B16-1)*B17</f>
        <v>3</v>
      </c>
      <c r="C26" s="839"/>
      <c r="D26" s="166">
        <f t="shared" si="0"/>
        <v>0</v>
      </c>
    </row>
    <row r="27" spans="1:4">
      <c r="A27" s="162" t="s">
        <v>167</v>
      </c>
      <c r="B27" s="82">
        <f>B17-B8</f>
        <v>0</v>
      </c>
      <c r="C27" s="839"/>
      <c r="D27" s="166">
        <f t="shared" si="0"/>
        <v>0</v>
      </c>
    </row>
    <row r="28" spans="1:4">
      <c r="A28" s="162" t="s">
        <v>168</v>
      </c>
      <c r="B28" s="82">
        <f>B8</f>
        <v>1</v>
      </c>
      <c r="C28" s="839"/>
      <c r="D28" s="166">
        <f t="shared" si="0"/>
        <v>0</v>
      </c>
    </row>
    <row r="29" spans="1:4">
      <c r="A29" s="184" t="s">
        <v>196</v>
      </c>
      <c r="B29" s="82">
        <f>(IF(B4&gt;2,B16,0))*B17</f>
        <v>0</v>
      </c>
      <c r="C29" s="839"/>
      <c r="D29" s="166">
        <f t="shared" si="0"/>
        <v>0</v>
      </c>
    </row>
    <row r="30" spans="1:4">
      <c r="A30" s="184" t="s">
        <v>197</v>
      </c>
      <c r="B30" s="82">
        <f>(IF(B4&lt;=2,B16,0))*B17</f>
        <v>4</v>
      </c>
      <c r="C30" s="839"/>
      <c r="D30" s="166">
        <f t="shared" si="0"/>
        <v>0</v>
      </c>
    </row>
    <row r="31" spans="1:4" ht="12.75" customHeight="1">
      <c r="A31" s="162" t="s">
        <v>169</v>
      </c>
      <c r="B31" s="82">
        <f>B17-B8</f>
        <v>0</v>
      </c>
      <c r="C31" s="839"/>
      <c r="D31" s="166">
        <f t="shared" si="0"/>
        <v>0</v>
      </c>
    </row>
    <row r="32" spans="1:4">
      <c r="A32" s="184" t="s">
        <v>198</v>
      </c>
      <c r="B32" s="82">
        <f>B17*2+(B17-B8)*2</f>
        <v>2</v>
      </c>
      <c r="C32" s="839"/>
      <c r="D32" s="166">
        <f t="shared" si="0"/>
        <v>0</v>
      </c>
    </row>
    <row r="33" spans="1:4">
      <c r="A33" s="184" t="s">
        <v>199</v>
      </c>
      <c r="B33" s="82">
        <f>2*B5</f>
        <v>2</v>
      </c>
      <c r="C33" s="839"/>
      <c r="D33" s="166">
        <f t="shared" si="0"/>
        <v>0</v>
      </c>
    </row>
    <row r="34" spans="1:4">
      <c r="A34" s="184" t="s">
        <v>200</v>
      </c>
      <c r="B34" s="82">
        <f>(B6+B7)*2</f>
        <v>0</v>
      </c>
      <c r="C34" s="839"/>
      <c r="D34" s="166">
        <f t="shared" si="0"/>
        <v>0</v>
      </c>
    </row>
    <row r="35" spans="1:4">
      <c r="A35" s="184" t="s">
        <v>201</v>
      </c>
      <c r="B35" s="82">
        <f>B5*2</f>
        <v>2</v>
      </c>
      <c r="C35" s="839"/>
      <c r="D35" s="166">
        <f t="shared" si="0"/>
        <v>0</v>
      </c>
    </row>
    <row r="36" spans="1:4">
      <c r="A36" s="184" t="s">
        <v>202</v>
      </c>
      <c r="B36" s="82">
        <f>2*(B6+B7)</f>
        <v>0</v>
      </c>
      <c r="C36" s="839"/>
      <c r="D36" s="166">
        <f t="shared" si="0"/>
        <v>0</v>
      </c>
    </row>
    <row r="37" spans="1:4">
      <c r="A37" s="184" t="s">
        <v>203</v>
      </c>
      <c r="B37" s="82">
        <f>2*B6</f>
        <v>0</v>
      </c>
      <c r="C37" s="839"/>
      <c r="D37" s="166">
        <f t="shared" si="0"/>
        <v>0</v>
      </c>
    </row>
    <row r="38" spans="1:4">
      <c r="A38" s="184" t="s">
        <v>204</v>
      </c>
      <c r="B38" s="82">
        <f>2*B7</f>
        <v>0</v>
      </c>
      <c r="C38" s="839"/>
      <c r="D38" s="166">
        <f t="shared" si="0"/>
        <v>0</v>
      </c>
    </row>
    <row r="39" spans="1:4">
      <c r="A39" s="184" t="s">
        <v>205</v>
      </c>
      <c r="B39" s="82">
        <f>B16*B17</f>
        <v>4</v>
      </c>
      <c r="C39" s="839"/>
      <c r="D39" s="166">
        <f t="shared" si="0"/>
        <v>0</v>
      </c>
    </row>
    <row r="40" spans="1:4">
      <c r="A40" s="184" t="s">
        <v>206</v>
      </c>
      <c r="B40" s="82">
        <f>B17*B16</f>
        <v>4</v>
      </c>
      <c r="C40" s="839"/>
      <c r="D40" s="166">
        <f t="shared" si="0"/>
        <v>0</v>
      </c>
    </row>
    <row r="41" spans="1:4">
      <c r="A41" s="184" t="s">
        <v>207</v>
      </c>
      <c r="B41" s="82">
        <f>B17</f>
        <v>1</v>
      </c>
      <c r="C41" s="839"/>
      <c r="D41" s="166">
        <f t="shared" si="0"/>
        <v>0</v>
      </c>
    </row>
    <row r="42" spans="1:4">
      <c r="A42" s="83" t="s">
        <v>208</v>
      </c>
      <c r="B42" s="82">
        <f>(B4+0.2)*B16*B17+(B3*2+B4*2)*(B6+B7)</f>
        <v>4.8</v>
      </c>
      <c r="C42" s="839"/>
      <c r="D42" s="166">
        <f t="shared" si="0"/>
        <v>0</v>
      </c>
    </row>
    <row r="43" spans="1:4">
      <c r="A43" s="184" t="s">
        <v>209</v>
      </c>
      <c r="B43" s="82">
        <f>1*B17</f>
        <v>1</v>
      </c>
      <c r="C43" s="839"/>
      <c r="D43" s="166">
        <f t="shared" si="0"/>
        <v>0</v>
      </c>
    </row>
    <row r="44" spans="1:4">
      <c r="A44" s="133" t="s">
        <v>163</v>
      </c>
      <c r="B44" s="74">
        <f>B9</f>
        <v>2</v>
      </c>
      <c r="C44" s="839"/>
      <c r="D44" s="166">
        <f>B44*C44</f>
        <v>0</v>
      </c>
    </row>
    <row r="45" spans="1:4">
      <c r="A45" s="133" t="s">
        <v>172</v>
      </c>
      <c r="B45" s="75">
        <f>B17</f>
        <v>1</v>
      </c>
      <c r="C45" s="899"/>
      <c r="D45" s="166">
        <f>B45*C45</f>
        <v>0</v>
      </c>
    </row>
    <row r="46" spans="1:4" ht="12" thickBot="1">
      <c r="A46" s="30" t="s">
        <v>173</v>
      </c>
      <c r="B46" s="167">
        <f>B10</f>
        <v>3</v>
      </c>
      <c r="C46" s="900"/>
      <c r="D46" s="166">
        <f>B46*C46</f>
        <v>0</v>
      </c>
    </row>
    <row r="47" spans="1:4" ht="12" thickBot="1">
      <c r="A47" s="1201"/>
      <c r="B47" s="1202"/>
      <c r="C47" s="1202"/>
      <c r="D47" s="1203"/>
    </row>
    <row r="48" spans="1:4" ht="12.75">
      <c r="A48" s="1198" t="s">
        <v>183</v>
      </c>
      <c r="B48" s="1199"/>
      <c r="C48" s="1199"/>
      <c r="D48" s="1200"/>
    </row>
    <row r="49" spans="1:4">
      <c r="A49" s="184" t="s">
        <v>210</v>
      </c>
      <c r="B49" s="82">
        <f>2*B7</f>
        <v>0</v>
      </c>
      <c r="C49" s="839"/>
      <c r="D49" s="166">
        <f t="shared" ref="D49:D60" si="1">B49*C49</f>
        <v>0</v>
      </c>
    </row>
    <row r="50" spans="1:4">
      <c r="A50" s="184" t="s">
        <v>211</v>
      </c>
      <c r="B50" s="82">
        <f>IF(B13=1,INT((B3-0.1)/0.6+2)*B17+2*B7+INT((B3-0.1)/0.6+2)*B6,0)</f>
        <v>0</v>
      </c>
      <c r="C50" s="839"/>
      <c r="D50" s="166">
        <f t="shared" si="1"/>
        <v>0</v>
      </c>
    </row>
    <row r="51" spans="1:4">
      <c r="A51" s="184" t="s">
        <v>212</v>
      </c>
      <c r="B51" s="82">
        <f>IF(B13=1,INT((B3-0.1)/0.6+2)*(B6+B7),0)</f>
        <v>0</v>
      </c>
      <c r="C51" s="839"/>
      <c r="D51" s="166">
        <f t="shared" si="1"/>
        <v>0</v>
      </c>
    </row>
    <row r="52" spans="1:4">
      <c r="A52" s="184" t="s">
        <v>213</v>
      </c>
      <c r="B52" s="82">
        <f>IF(B14=1,2*B7,0)</f>
        <v>0</v>
      </c>
      <c r="C52" s="839"/>
      <c r="D52" s="166">
        <f t="shared" si="1"/>
        <v>0</v>
      </c>
    </row>
    <row r="53" spans="1:4">
      <c r="A53" s="184" t="s">
        <v>214</v>
      </c>
      <c r="B53" s="82">
        <f>(IF(B14=1,INT((B3-0.1)/0.6+2),0))*B17</f>
        <v>0</v>
      </c>
      <c r="C53" s="839"/>
      <c r="D53" s="166">
        <f t="shared" si="1"/>
        <v>0</v>
      </c>
    </row>
    <row r="54" spans="1:4">
      <c r="A54" s="184" t="s">
        <v>215</v>
      </c>
      <c r="B54" s="82">
        <f>(IF(B14=1,INT((B3-0.1)/0.6+2),0))*B6</f>
        <v>0</v>
      </c>
      <c r="C54" s="839"/>
      <c r="D54" s="166">
        <f t="shared" si="1"/>
        <v>0</v>
      </c>
    </row>
    <row r="55" spans="1:4">
      <c r="A55" s="184" t="s">
        <v>216</v>
      </c>
      <c r="B55" s="82">
        <f>(IF(B14=1,0,INT((B3-0.1)/0.6+2)))*B17</f>
        <v>3</v>
      </c>
      <c r="C55" s="839"/>
      <c r="D55" s="166">
        <f t="shared" si="1"/>
        <v>0</v>
      </c>
    </row>
    <row r="56" spans="1:4">
      <c r="A56" s="184" t="s">
        <v>217</v>
      </c>
      <c r="B56" s="82">
        <f>((IF(B14=1,0,INT((B3-0.1)/0.6+2))))*B6</f>
        <v>0</v>
      </c>
      <c r="C56" s="839"/>
      <c r="D56" s="166">
        <f t="shared" si="1"/>
        <v>0</v>
      </c>
    </row>
    <row r="57" spans="1:4">
      <c r="A57" s="184" t="s">
        <v>218</v>
      </c>
      <c r="B57" s="165">
        <f>IF(B12&lt;&gt;1,B49,0)</f>
        <v>0</v>
      </c>
      <c r="C57" s="839"/>
      <c r="D57" s="166">
        <f t="shared" si="1"/>
        <v>0</v>
      </c>
    </row>
    <row r="58" spans="1:4">
      <c r="A58" s="184" t="s">
        <v>219</v>
      </c>
      <c r="B58" s="82">
        <f>B57</f>
        <v>0</v>
      </c>
      <c r="C58" s="839"/>
      <c r="D58" s="166">
        <f t="shared" si="1"/>
        <v>0</v>
      </c>
    </row>
    <row r="59" spans="1:4">
      <c r="A59" s="184" t="s">
        <v>220</v>
      </c>
      <c r="B59" s="165">
        <f>IF(B13=1,B55+B56,0)</f>
        <v>0</v>
      </c>
      <c r="C59" s="842"/>
      <c r="D59" s="166">
        <f t="shared" si="1"/>
        <v>0</v>
      </c>
    </row>
    <row r="60" spans="1:4">
      <c r="A60" s="184" t="s">
        <v>221</v>
      </c>
      <c r="B60" s="82">
        <f>B49</f>
        <v>0</v>
      </c>
      <c r="C60" s="839"/>
      <c r="D60" s="166">
        <f t="shared" si="1"/>
        <v>0</v>
      </c>
    </row>
    <row r="61" spans="1:4" ht="12" thickBot="1">
      <c r="A61" s="1201"/>
      <c r="B61" s="1202"/>
      <c r="C61" s="1202"/>
      <c r="D61" s="1203"/>
    </row>
    <row r="62" spans="1:4" ht="12.75">
      <c r="A62" s="1204" t="s">
        <v>222</v>
      </c>
      <c r="B62" s="1205"/>
      <c r="C62" s="1205"/>
      <c r="D62" s="1206"/>
    </row>
    <row r="63" spans="1:4">
      <c r="A63" s="184" t="s">
        <v>223</v>
      </c>
      <c r="B63" s="82">
        <v>1</v>
      </c>
      <c r="C63" s="839"/>
      <c r="D63" s="166">
        <f>B63*C63</f>
        <v>0</v>
      </c>
    </row>
    <row r="64" spans="1:4" ht="12" thickBot="1">
      <c r="A64" s="188" t="s">
        <v>224</v>
      </c>
      <c r="B64" s="189">
        <v>1</v>
      </c>
      <c r="C64" s="902"/>
      <c r="D64" s="70">
        <f>B64*C64</f>
        <v>0</v>
      </c>
    </row>
    <row r="65" spans="3:4">
      <c r="C65" s="3" t="s">
        <v>9</v>
      </c>
      <c r="D65" s="3">
        <f>SUM(D21:D64)</f>
        <v>0</v>
      </c>
    </row>
  </sheetData>
  <sheetProtection algorithmName="SHA-512" hashValue="HmDEEjLtlLMa4Gphp2VxE3IdKkKmiNTlF+9Ag2lVEoEqKpR2j1VgU6D63BdnCio8g9mgBGBq9pkPNh2ZQMYTGw==" saltValue="qm8NqdMbqQm+m1XYDynEKQ==" spinCount="100000" sheet="1" objects="1" scenarios="1"/>
  <mergeCells count="23">
    <mergeCell ref="C13:D13"/>
    <mergeCell ref="A48:D48"/>
    <mergeCell ref="A61:D61"/>
    <mergeCell ref="A62:D62"/>
    <mergeCell ref="C8:D8"/>
    <mergeCell ref="C9:D9"/>
    <mergeCell ref="C10:D10"/>
    <mergeCell ref="A15:D15"/>
    <mergeCell ref="C16:D16"/>
    <mergeCell ref="C17:D17"/>
    <mergeCell ref="A18:D18"/>
    <mergeCell ref="A47:D47"/>
    <mergeCell ref="C14:D14"/>
    <mergeCell ref="C5:D5"/>
    <mergeCell ref="C6:D6"/>
    <mergeCell ref="C7:D7"/>
    <mergeCell ref="A11:D11"/>
    <mergeCell ref="C12:D12"/>
    <mergeCell ref="F2:K3"/>
    <mergeCell ref="A1:D1"/>
    <mergeCell ref="A2:D2"/>
    <mergeCell ref="C3:D3"/>
    <mergeCell ref="C4:D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K40"/>
  <sheetViews>
    <sheetView workbookViewId="0">
      <selection activeCell="C39" sqref="C39:C40"/>
    </sheetView>
  </sheetViews>
  <sheetFormatPr defaultRowHeight="11.25"/>
  <cols>
    <col min="1" max="1" width="55.83203125" customWidth="1"/>
    <col min="2" max="2" width="11.1640625" customWidth="1"/>
    <col min="3" max="3" width="10.83203125" customWidth="1"/>
    <col min="4" max="4" width="11.1640625" customWidth="1"/>
    <col min="11" max="11" width="19.83203125" customWidth="1"/>
  </cols>
  <sheetData>
    <row r="1" spans="1:11" ht="27" thickBot="1">
      <c r="A1" s="1053" t="s">
        <v>225</v>
      </c>
      <c r="B1" s="1054"/>
      <c r="C1" s="1054"/>
      <c r="D1" s="1076"/>
    </row>
    <row r="2" spans="1:11" ht="15" thickBot="1">
      <c r="A2" s="1077" t="s">
        <v>3</v>
      </c>
      <c r="B2" s="1078"/>
      <c r="C2" s="1078"/>
      <c r="D2" s="1079"/>
      <c r="F2" s="1059" t="s">
        <v>122</v>
      </c>
      <c r="G2" s="1060"/>
      <c r="H2" s="1060"/>
      <c r="I2" s="1060"/>
      <c r="J2" s="1060"/>
      <c r="K2" s="1061"/>
    </row>
    <row r="3" spans="1:11" ht="12" thickBot="1">
      <c r="A3" s="45" t="s">
        <v>178</v>
      </c>
      <c r="B3" s="885">
        <v>1</v>
      </c>
      <c r="C3" s="1190" t="s">
        <v>30</v>
      </c>
      <c r="D3" s="1190"/>
      <c r="F3" s="1062"/>
      <c r="G3" s="1063"/>
      <c r="H3" s="1063"/>
      <c r="I3" s="1063"/>
      <c r="J3" s="1063"/>
      <c r="K3" s="1064"/>
    </row>
    <row r="4" spans="1:11" ht="12" thickBot="1">
      <c r="A4" s="194" t="s">
        <v>179</v>
      </c>
      <c r="B4" s="923">
        <v>1</v>
      </c>
      <c r="C4" s="1216" t="s">
        <v>30</v>
      </c>
      <c r="D4" s="1216"/>
    </row>
    <row r="5" spans="1:11">
      <c r="A5" s="172" t="s">
        <v>157</v>
      </c>
      <c r="B5" s="904">
        <v>1</v>
      </c>
      <c r="C5" s="1218" t="s">
        <v>30</v>
      </c>
      <c r="D5" s="1218"/>
    </row>
    <row r="6" spans="1:11">
      <c r="A6" s="152" t="s">
        <v>144</v>
      </c>
      <c r="B6" s="895">
        <v>2</v>
      </c>
      <c r="C6" s="1207" t="s">
        <v>30</v>
      </c>
      <c r="D6" s="1207"/>
      <c r="E6" s="192"/>
      <c r="H6" s="71"/>
      <c r="I6" s="71"/>
      <c r="J6" s="71"/>
    </row>
    <row r="7" spans="1:11" ht="12" thickBot="1">
      <c r="A7" s="139" t="s">
        <v>147</v>
      </c>
      <c r="B7" s="896">
        <v>3</v>
      </c>
      <c r="C7" s="1194" t="s">
        <v>30</v>
      </c>
      <c r="D7" s="1194"/>
      <c r="E7" s="193"/>
      <c r="H7" s="71"/>
      <c r="I7" s="71"/>
      <c r="J7" s="71"/>
    </row>
    <row r="8" spans="1:11" ht="12" thickBot="1">
      <c r="A8" s="190" t="s">
        <v>53</v>
      </c>
      <c r="B8" s="924">
        <v>1</v>
      </c>
      <c r="C8" s="1217" t="s">
        <v>30</v>
      </c>
      <c r="D8" s="1217"/>
    </row>
    <row r="9" spans="1:11" ht="12" thickBot="1">
      <c r="A9" s="1208"/>
      <c r="B9" s="1209"/>
      <c r="C9" s="1209"/>
      <c r="D9" s="1210"/>
    </row>
    <row r="10" spans="1:11" ht="12" thickBot="1">
      <c r="A10" s="182" t="s">
        <v>187</v>
      </c>
      <c r="B10" s="921">
        <f>CEILING((B3-0.1)/0.4,1)+1</f>
        <v>4</v>
      </c>
      <c r="C10" s="1211" t="s">
        <v>29</v>
      </c>
      <c r="D10" s="1212"/>
    </row>
    <row r="11" spans="1:11" ht="12" thickBot="1">
      <c r="A11" s="1215"/>
      <c r="B11" s="1215"/>
      <c r="C11" s="1215"/>
      <c r="D11" s="1215"/>
    </row>
    <row r="12" spans="1:11" ht="12.75">
      <c r="A12" s="185" t="s">
        <v>7</v>
      </c>
      <c r="B12" s="186" t="s">
        <v>0</v>
      </c>
      <c r="C12" s="58" t="s">
        <v>4</v>
      </c>
      <c r="D12" s="187" t="s">
        <v>8</v>
      </c>
    </row>
    <row r="13" spans="1:11">
      <c r="A13" s="52" t="s">
        <v>189</v>
      </c>
      <c r="B13" s="176">
        <f>B3*B8</f>
        <v>1</v>
      </c>
      <c r="C13" s="842">
        <v>9</v>
      </c>
      <c r="D13" s="177">
        <f t="shared" ref="D13:D33" si="0">B13*C13</f>
        <v>9</v>
      </c>
    </row>
    <row r="14" spans="1:11">
      <c r="A14" s="184" t="s">
        <v>190</v>
      </c>
      <c r="B14" s="81">
        <f>B3*B8</f>
        <v>1</v>
      </c>
      <c r="C14" s="842"/>
      <c r="D14" s="177">
        <f t="shared" si="0"/>
        <v>0</v>
      </c>
    </row>
    <row r="15" spans="1:11">
      <c r="A15" s="184" t="s">
        <v>192</v>
      </c>
      <c r="B15" s="81">
        <f>B3*B8</f>
        <v>1</v>
      </c>
      <c r="C15" s="842"/>
      <c r="D15" s="177">
        <f t="shared" si="0"/>
        <v>0</v>
      </c>
    </row>
    <row r="16" spans="1:11">
      <c r="A16" s="184" t="s">
        <v>226</v>
      </c>
      <c r="B16" s="81">
        <f>B3*B8</f>
        <v>1</v>
      </c>
      <c r="C16" s="842"/>
      <c r="D16" s="177">
        <f t="shared" si="0"/>
        <v>0</v>
      </c>
    </row>
    <row r="17" spans="1:4">
      <c r="A17" s="184" t="s">
        <v>193</v>
      </c>
      <c r="B17" s="82">
        <f>B3*B8*2</f>
        <v>2</v>
      </c>
      <c r="C17" s="839"/>
      <c r="D17" s="177">
        <f t="shared" si="0"/>
        <v>0</v>
      </c>
    </row>
    <row r="18" spans="1:4">
      <c r="A18" s="184" t="s">
        <v>194</v>
      </c>
      <c r="B18" s="82">
        <f>B3*B8</f>
        <v>1</v>
      </c>
      <c r="C18" s="839"/>
      <c r="D18" s="177">
        <f t="shared" si="0"/>
        <v>0</v>
      </c>
    </row>
    <row r="19" spans="1:4">
      <c r="A19" s="184" t="s">
        <v>195</v>
      </c>
      <c r="B19" s="82">
        <f>(B10-1)*B8</f>
        <v>3</v>
      </c>
      <c r="C19" s="839"/>
      <c r="D19" s="177">
        <f t="shared" si="0"/>
        <v>0</v>
      </c>
    </row>
    <row r="20" spans="1:4">
      <c r="A20" s="162" t="s">
        <v>167</v>
      </c>
      <c r="B20" s="82">
        <f>B8-B5</f>
        <v>0</v>
      </c>
      <c r="C20" s="839"/>
      <c r="D20" s="177">
        <f t="shared" si="0"/>
        <v>0</v>
      </c>
    </row>
    <row r="21" spans="1:4">
      <c r="A21" s="162" t="s">
        <v>168</v>
      </c>
      <c r="B21" s="82">
        <f>B5</f>
        <v>1</v>
      </c>
      <c r="C21" s="839"/>
      <c r="D21" s="177">
        <f t="shared" si="0"/>
        <v>0</v>
      </c>
    </row>
    <row r="22" spans="1:4">
      <c r="A22" s="184" t="s">
        <v>196</v>
      </c>
      <c r="B22" s="82">
        <f>(IF(B4&gt;2,B10,0))*B8</f>
        <v>0</v>
      </c>
      <c r="C22" s="839"/>
      <c r="D22" s="177">
        <f t="shared" si="0"/>
        <v>0</v>
      </c>
    </row>
    <row r="23" spans="1:4">
      <c r="A23" s="184" t="s">
        <v>197</v>
      </c>
      <c r="B23" s="82">
        <f>(IF(B4&lt;=2,B10,0))*B8</f>
        <v>4</v>
      </c>
      <c r="C23" s="839"/>
      <c r="D23" s="177">
        <f t="shared" si="0"/>
        <v>0</v>
      </c>
    </row>
    <row r="24" spans="1:4">
      <c r="A24" s="184" t="s">
        <v>198</v>
      </c>
      <c r="B24" s="82">
        <f>B8*2+(B8-B5)*2</f>
        <v>2</v>
      </c>
      <c r="C24" s="839"/>
      <c r="D24" s="177">
        <f t="shared" si="0"/>
        <v>0</v>
      </c>
    </row>
    <row r="25" spans="1:4">
      <c r="A25" s="184" t="s">
        <v>199</v>
      </c>
      <c r="B25" s="82">
        <f>2*B8</f>
        <v>2</v>
      </c>
      <c r="C25" s="839"/>
      <c r="D25" s="177">
        <f t="shared" si="0"/>
        <v>0</v>
      </c>
    </row>
    <row r="26" spans="1:4">
      <c r="A26" s="184" t="s">
        <v>201</v>
      </c>
      <c r="B26" s="82">
        <f>B8*2</f>
        <v>2</v>
      </c>
      <c r="C26" s="839"/>
      <c r="D26" s="177">
        <f t="shared" si="0"/>
        <v>0</v>
      </c>
    </row>
    <row r="27" spans="1:4">
      <c r="A27" s="184" t="s">
        <v>227</v>
      </c>
      <c r="B27" s="82">
        <f>2*B8</f>
        <v>2</v>
      </c>
      <c r="C27" s="839"/>
      <c r="D27" s="177">
        <f t="shared" si="0"/>
        <v>0</v>
      </c>
    </row>
    <row r="28" spans="1:4">
      <c r="A28" s="184" t="s">
        <v>205</v>
      </c>
      <c r="B28" s="82">
        <f>(4*3+B10*3)*B8</f>
        <v>24</v>
      </c>
      <c r="C28" s="839"/>
      <c r="D28" s="177">
        <f t="shared" si="0"/>
        <v>0</v>
      </c>
    </row>
    <row r="29" spans="1:4">
      <c r="A29" s="184" t="s">
        <v>228</v>
      </c>
      <c r="B29" s="82">
        <f>2*B8</f>
        <v>2</v>
      </c>
      <c r="C29" s="839"/>
      <c r="D29" s="177">
        <f t="shared" si="0"/>
        <v>0</v>
      </c>
    </row>
    <row r="30" spans="1:4">
      <c r="A30" s="184" t="s">
        <v>206</v>
      </c>
      <c r="B30" s="82">
        <f>B10*B8</f>
        <v>4</v>
      </c>
      <c r="C30" s="839"/>
      <c r="D30" s="177">
        <f t="shared" si="0"/>
        <v>0</v>
      </c>
    </row>
    <row r="31" spans="1:4">
      <c r="A31" s="184" t="s">
        <v>207</v>
      </c>
      <c r="B31" s="82">
        <f>B8*2</f>
        <v>2</v>
      </c>
      <c r="C31" s="839"/>
      <c r="D31" s="177">
        <f t="shared" si="0"/>
        <v>0</v>
      </c>
    </row>
    <row r="32" spans="1:4">
      <c r="A32" s="83" t="s">
        <v>208</v>
      </c>
      <c r="B32" s="82">
        <f>((B4*2+0.4)*2+(B4+0.4)*2)*B8</f>
        <v>7.6</v>
      </c>
      <c r="C32" s="839"/>
      <c r="D32" s="177">
        <f t="shared" si="0"/>
        <v>0</v>
      </c>
    </row>
    <row r="33" spans="1:4">
      <c r="A33" s="184" t="s">
        <v>209</v>
      </c>
      <c r="B33" s="82">
        <f>B8</f>
        <v>1</v>
      </c>
      <c r="C33" s="839"/>
      <c r="D33" s="177">
        <f t="shared" si="0"/>
        <v>0</v>
      </c>
    </row>
    <row r="34" spans="1:4">
      <c r="A34" s="133" t="s">
        <v>163</v>
      </c>
      <c r="B34" s="74">
        <f>B6</f>
        <v>2</v>
      </c>
      <c r="C34" s="839"/>
      <c r="D34" s="178">
        <f>B34*C34</f>
        <v>0</v>
      </c>
    </row>
    <row r="35" spans="1:4">
      <c r="A35" s="133" t="s">
        <v>172</v>
      </c>
      <c r="B35" s="75">
        <f>B8</f>
        <v>1</v>
      </c>
      <c r="C35" s="899"/>
      <c r="D35" s="178">
        <f>B35*C35</f>
        <v>0</v>
      </c>
    </row>
    <row r="36" spans="1:4" ht="12" thickBot="1">
      <c r="A36" s="30" t="s">
        <v>173</v>
      </c>
      <c r="B36" s="179">
        <f>B7</f>
        <v>3</v>
      </c>
      <c r="C36" s="900"/>
      <c r="D36" s="70">
        <f>B36*C36</f>
        <v>0</v>
      </c>
    </row>
    <row r="37" spans="1:4" ht="12" thickBot="1">
      <c r="A37" s="1201"/>
      <c r="B37" s="1202"/>
      <c r="C37" s="1202"/>
      <c r="D37" s="1203"/>
    </row>
    <row r="38" spans="1:4" ht="12.75">
      <c r="A38" s="1198" t="s">
        <v>183</v>
      </c>
      <c r="B38" s="1199"/>
      <c r="C38" s="1199"/>
      <c r="D38" s="1200"/>
    </row>
    <row r="39" spans="1:4">
      <c r="A39" s="184" t="s">
        <v>216</v>
      </c>
      <c r="B39" s="82">
        <f>B10*B8</f>
        <v>4</v>
      </c>
      <c r="C39" s="839"/>
      <c r="D39" s="178">
        <f>B39*C39</f>
        <v>0</v>
      </c>
    </row>
    <row r="40" spans="1:4" ht="12" thickBot="1">
      <c r="A40" s="188" t="s">
        <v>217</v>
      </c>
      <c r="B40" s="189">
        <f>B39</f>
        <v>4</v>
      </c>
      <c r="C40" s="902"/>
      <c r="D40" s="70">
        <f>B40*C40</f>
        <v>0</v>
      </c>
    </row>
  </sheetData>
  <sheetProtection algorithmName="SHA-512" hashValue="focOM/Yilb8oX5Idn7OP2jxc7Lj1ncd2PWefDObW7SKdnyOmK5EzAxCMmIoE+vs2LfYYrRDv35va2pqiy0TFEA==" saltValue="HdIw521SZi2HQCWC7JXXzw==" spinCount="100000" sheet="1" objects="1" scenarios="1"/>
  <mergeCells count="14">
    <mergeCell ref="A38:D38"/>
    <mergeCell ref="A1:D1"/>
    <mergeCell ref="A2:D2"/>
    <mergeCell ref="C3:D3"/>
    <mergeCell ref="C4:D4"/>
    <mergeCell ref="C8:D8"/>
    <mergeCell ref="C5:D5"/>
    <mergeCell ref="C6:D6"/>
    <mergeCell ref="C7:D7"/>
    <mergeCell ref="F2:K3"/>
    <mergeCell ref="A9:D9"/>
    <mergeCell ref="C10:D10"/>
    <mergeCell ref="A11:D11"/>
    <mergeCell ref="A37:D3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J68"/>
  <sheetViews>
    <sheetView topLeftCell="A13" workbookViewId="0">
      <selection activeCell="C49" sqref="C49:C56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13.1640625" customWidth="1"/>
    <col min="6" max="6" width="5.5" bestFit="1" customWidth="1"/>
    <col min="7" max="7" width="9.5" bestFit="1" customWidth="1"/>
  </cols>
  <sheetData>
    <row r="1" spans="1:10" ht="27" thickBot="1">
      <c r="A1" s="1053" t="s">
        <v>345</v>
      </c>
      <c r="B1" s="1054"/>
      <c r="C1" s="1054"/>
      <c r="D1" s="1076"/>
    </row>
    <row r="2" spans="1:10" ht="15" thickBot="1">
      <c r="A2" s="1077" t="s">
        <v>3</v>
      </c>
      <c r="B2" s="1078"/>
      <c r="C2" s="1078"/>
      <c r="D2" s="1079"/>
    </row>
    <row r="3" spans="1:10">
      <c r="A3" s="237" t="s">
        <v>178</v>
      </c>
      <c r="B3" s="834">
        <v>2</v>
      </c>
      <c r="C3" s="1081" t="s">
        <v>30</v>
      </c>
      <c r="D3" s="1056"/>
    </row>
    <row r="4" spans="1:10">
      <c r="A4" s="238" t="s">
        <v>179</v>
      </c>
      <c r="B4" s="925">
        <v>2</v>
      </c>
      <c r="C4" s="1128" t="s">
        <v>30</v>
      </c>
      <c r="D4" s="1129"/>
    </row>
    <row r="5" spans="1:10" ht="12" thickBot="1">
      <c r="A5" s="239" t="s">
        <v>315</v>
      </c>
      <c r="B5" s="926">
        <v>0.5</v>
      </c>
      <c r="C5" s="1223" t="s">
        <v>30</v>
      </c>
      <c r="D5" s="1224"/>
    </row>
    <row r="6" spans="1:10">
      <c r="A6" s="180" t="s">
        <v>346</v>
      </c>
      <c r="B6" s="918">
        <v>1</v>
      </c>
      <c r="C6" s="1225" t="s">
        <v>30</v>
      </c>
      <c r="D6" s="1226"/>
      <c r="H6" s="71"/>
    </row>
    <row r="7" spans="1:10" ht="12" thickBot="1">
      <c r="A7" s="240" t="s">
        <v>347</v>
      </c>
      <c r="B7" s="927">
        <v>1</v>
      </c>
      <c r="C7" s="1227" t="s">
        <v>30</v>
      </c>
      <c r="D7" s="1228"/>
      <c r="H7" s="71"/>
    </row>
    <row r="8" spans="1:10">
      <c r="A8" s="172" t="s">
        <v>144</v>
      </c>
      <c r="B8" s="904">
        <v>2</v>
      </c>
      <c r="C8" s="1218" t="s">
        <v>30</v>
      </c>
      <c r="D8" s="1218"/>
      <c r="E8" s="192"/>
      <c r="H8" s="71"/>
      <c r="I8" s="71"/>
      <c r="J8" s="71"/>
    </row>
    <row r="9" spans="1:10" ht="12" thickBot="1">
      <c r="A9" s="139" t="s">
        <v>147</v>
      </c>
      <c r="B9" s="896">
        <v>3</v>
      </c>
      <c r="C9" s="1194" t="s">
        <v>30</v>
      </c>
      <c r="D9" s="1194"/>
      <c r="E9" s="193"/>
      <c r="H9" s="71"/>
      <c r="I9" s="71"/>
      <c r="J9" s="71"/>
    </row>
    <row r="10" spans="1:10" ht="12" thickBot="1">
      <c r="A10" s="1195" t="s">
        <v>183</v>
      </c>
      <c r="B10" s="1195"/>
      <c r="C10" s="1195"/>
      <c r="D10" s="1195"/>
      <c r="H10" s="71"/>
    </row>
    <row r="11" spans="1:10">
      <c r="A11" s="180" t="s">
        <v>316</v>
      </c>
      <c r="B11" s="918">
        <v>0</v>
      </c>
      <c r="C11" s="1196" t="s">
        <v>33</v>
      </c>
      <c r="D11" s="1197"/>
      <c r="H11" s="71"/>
    </row>
    <row r="12" spans="1:10">
      <c r="A12" s="181" t="s">
        <v>317</v>
      </c>
      <c r="B12" s="919">
        <v>0</v>
      </c>
      <c r="C12" s="1125" t="s">
        <v>33</v>
      </c>
      <c r="D12" s="1126"/>
      <c r="F12" s="71"/>
      <c r="G12" s="71"/>
      <c r="H12" s="71"/>
    </row>
    <row r="13" spans="1:10">
      <c r="A13" s="181" t="s">
        <v>318</v>
      </c>
      <c r="B13" s="920">
        <v>0</v>
      </c>
      <c r="C13" s="1127" t="s">
        <v>33</v>
      </c>
      <c r="D13" s="1129"/>
      <c r="F13" s="71"/>
      <c r="G13" s="71"/>
      <c r="H13" s="71"/>
    </row>
    <row r="14" spans="1:10">
      <c r="A14" s="181" t="s">
        <v>319</v>
      </c>
      <c r="B14" s="919">
        <v>0</v>
      </c>
      <c r="C14" s="1125" t="s">
        <v>33</v>
      </c>
      <c r="D14" s="1126"/>
      <c r="F14" s="71"/>
      <c r="G14" s="71"/>
      <c r="H14" s="71"/>
    </row>
    <row r="15" spans="1:10" ht="12" thickBot="1">
      <c r="A15" s="240" t="s">
        <v>320</v>
      </c>
      <c r="B15" s="928">
        <v>1</v>
      </c>
      <c r="C15" s="1221" t="s">
        <v>33</v>
      </c>
      <c r="D15" s="1222"/>
      <c r="F15" s="71"/>
      <c r="G15" s="71"/>
      <c r="H15" s="71"/>
    </row>
    <row r="16" spans="1:10" ht="12" thickBot="1">
      <c r="A16" s="1208"/>
      <c r="B16" s="1209"/>
      <c r="C16" s="1209"/>
      <c r="D16" s="1210"/>
      <c r="F16" s="71"/>
      <c r="G16" s="71"/>
      <c r="H16" s="71"/>
    </row>
    <row r="17" spans="1:8" ht="12" thickBot="1">
      <c r="A17" s="241" t="s">
        <v>321</v>
      </c>
      <c r="B17" s="921">
        <v>1</v>
      </c>
      <c r="C17" s="1211" t="s">
        <v>322</v>
      </c>
      <c r="D17" s="1212"/>
      <c r="F17" s="71"/>
      <c r="G17" s="71"/>
      <c r="H17" s="71"/>
    </row>
    <row r="18" spans="1:8">
      <c r="A18" s="182" t="s">
        <v>187</v>
      </c>
      <c r="B18" s="921">
        <f>CEILING((B3-0.15)/0.4,1)+1</f>
        <v>6</v>
      </c>
      <c r="C18" s="1211" t="s">
        <v>29</v>
      </c>
      <c r="D18" s="1212"/>
      <c r="E18" s="73"/>
      <c r="F18" s="71"/>
      <c r="G18" s="71"/>
      <c r="H18" s="71"/>
    </row>
    <row r="19" spans="1:8" ht="12" thickBot="1">
      <c r="A19" s="183" t="s">
        <v>188</v>
      </c>
      <c r="B19" s="922">
        <f>SUM(B6:B7)</f>
        <v>2</v>
      </c>
      <c r="C19" s="1213" t="s">
        <v>29</v>
      </c>
      <c r="D19" s="1214"/>
      <c r="E19" s="73"/>
      <c r="F19" s="71"/>
      <c r="G19" s="71"/>
      <c r="H19" s="71"/>
    </row>
    <row r="20" spans="1:8" ht="12" thickBot="1">
      <c r="A20" s="1167"/>
      <c r="B20" s="1167"/>
      <c r="C20" s="1167"/>
      <c r="D20" s="1167"/>
      <c r="F20" s="71"/>
      <c r="G20" s="71"/>
      <c r="H20" s="71"/>
    </row>
    <row r="21" spans="1:8" ht="12.75">
      <c r="A21" s="234" t="s">
        <v>7</v>
      </c>
      <c r="B21" s="235" t="s">
        <v>0</v>
      </c>
      <c r="C21" s="58" t="s">
        <v>4</v>
      </c>
      <c r="D21" s="236" t="s">
        <v>8</v>
      </c>
      <c r="F21" s="71"/>
      <c r="G21" s="71"/>
      <c r="H21" s="71"/>
    </row>
    <row r="22" spans="1:8">
      <c r="A22" s="247" t="s">
        <v>323</v>
      </c>
      <c r="B22" s="81">
        <f>(B3-0.003)*B19</f>
        <v>3.9940000000000002</v>
      </c>
      <c r="C22" s="842">
        <v>9</v>
      </c>
      <c r="D22" s="230">
        <f t="shared" ref="D22:D53" si="0">B22*C22</f>
        <v>35.946000000000005</v>
      </c>
      <c r="F22" s="71"/>
      <c r="G22" s="71"/>
      <c r="H22" s="71"/>
    </row>
    <row r="23" spans="1:8">
      <c r="A23" s="247" t="s">
        <v>324</v>
      </c>
      <c r="B23" s="81">
        <f>(B3-0.003)*B19</f>
        <v>3.9940000000000002</v>
      </c>
      <c r="C23" s="842"/>
      <c r="D23" s="230">
        <f t="shared" si="0"/>
        <v>0</v>
      </c>
      <c r="F23" s="71"/>
      <c r="G23" s="71"/>
      <c r="H23" s="71"/>
    </row>
    <row r="24" spans="1:8">
      <c r="A24" s="247" t="s">
        <v>325</v>
      </c>
      <c r="B24" s="82">
        <f>(B3-0.003)*B19*2</f>
        <v>7.9880000000000004</v>
      </c>
      <c r="C24" s="839"/>
      <c r="D24" s="231">
        <f t="shared" si="0"/>
        <v>0</v>
      </c>
      <c r="F24" s="71"/>
      <c r="G24" s="71"/>
      <c r="H24" s="71"/>
    </row>
    <row r="25" spans="1:8">
      <c r="A25" s="247" t="s">
        <v>326</v>
      </c>
      <c r="B25" s="82">
        <f>(B3-0.002)*B19*2</f>
        <v>7.992</v>
      </c>
      <c r="C25" s="839"/>
      <c r="D25" s="231">
        <f t="shared" si="0"/>
        <v>0</v>
      </c>
    </row>
    <row r="26" spans="1:8">
      <c r="A26" s="247" t="s">
        <v>327</v>
      </c>
      <c r="B26" s="82">
        <f>(B3-0.695)*B19</f>
        <v>2.6100000000000003</v>
      </c>
      <c r="C26" s="839"/>
      <c r="D26" s="231">
        <f t="shared" si="0"/>
        <v>0</v>
      </c>
    </row>
    <row r="27" spans="1:8">
      <c r="A27" s="247" t="s">
        <v>328</v>
      </c>
      <c r="B27" s="82">
        <f>B28</f>
        <v>2</v>
      </c>
      <c r="C27" s="839"/>
      <c r="D27" s="231"/>
    </row>
    <row r="28" spans="1:8">
      <c r="A28" s="247" t="s">
        <v>329</v>
      </c>
      <c r="B28" s="82">
        <f>2*B7</f>
        <v>2</v>
      </c>
      <c r="C28" s="839"/>
      <c r="D28" s="231">
        <f t="shared" si="0"/>
        <v>0</v>
      </c>
    </row>
    <row r="29" spans="1:8">
      <c r="A29" s="247" t="s">
        <v>330</v>
      </c>
      <c r="B29" s="82">
        <f>B19*2</f>
        <v>4</v>
      </c>
      <c r="C29" s="839"/>
      <c r="D29" s="231">
        <f t="shared" si="0"/>
        <v>0</v>
      </c>
    </row>
    <row r="30" spans="1:8">
      <c r="A30" s="247" t="s">
        <v>331</v>
      </c>
      <c r="B30" s="82">
        <f>2*B19</f>
        <v>4</v>
      </c>
      <c r="C30" s="839"/>
      <c r="D30" s="231">
        <f t="shared" si="0"/>
        <v>0</v>
      </c>
    </row>
    <row r="31" spans="1:8">
      <c r="A31" s="247" t="s">
        <v>332</v>
      </c>
      <c r="B31" s="82">
        <f>B18*B19</f>
        <v>12</v>
      </c>
      <c r="C31" s="839"/>
      <c r="D31" s="231">
        <f t="shared" si="0"/>
        <v>0</v>
      </c>
    </row>
    <row r="32" spans="1:8">
      <c r="A32" s="247" t="s">
        <v>333</v>
      </c>
      <c r="B32" s="82">
        <f>B18*B19</f>
        <v>12</v>
      </c>
      <c r="C32" s="839"/>
      <c r="D32" s="231">
        <f t="shared" si="0"/>
        <v>0</v>
      </c>
    </row>
    <row r="33" spans="1:5">
      <c r="A33" s="247" t="s">
        <v>334</v>
      </c>
      <c r="B33" s="82">
        <f>IF($B$17=1,$B$18*$B$19,0)</f>
        <v>12</v>
      </c>
      <c r="C33" s="839"/>
      <c r="D33" s="231">
        <f t="shared" si="0"/>
        <v>0</v>
      </c>
    </row>
    <row r="34" spans="1:5">
      <c r="A34" s="247" t="s">
        <v>335</v>
      </c>
      <c r="B34" s="82">
        <f>B33</f>
        <v>12</v>
      </c>
      <c r="C34" s="839"/>
      <c r="D34" s="231">
        <f t="shared" si="0"/>
        <v>0</v>
      </c>
    </row>
    <row r="35" spans="1:5">
      <c r="A35" s="247" t="s">
        <v>205</v>
      </c>
      <c r="B35" s="82">
        <f>(IF(B4&gt;2,B18+4,B18+3))*B19+4*B7</f>
        <v>22</v>
      </c>
      <c r="C35" s="839"/>
      <c r="D35" s="231">
        <f t="shared" si="0"/>
        <v>0</v>
      </c>
      <c r="E35" t="s">
        <v>351</v>
      </c>
    </row>
    <row r="36" spans="1:5">
      <c r="A36" s="247" t="s">
        <v>336</v>
      </c>
      <c r="B36" s="82">
        <f>1*B7</f>
        <v>1</v>
      </c>
      <c r="C36" s="839"/>
      <c r="D36" s="231">
        <f t="shared" si="0"/>
        <v>0</v>
      </c>
    </row>
    <row r="37" spans="1:5">
      <c r="A37" s="247" t="s">
        <v>196</v>
      </c>
      <c r="B37" s="82">
        <f>(IF(B4&gt;2,B18,0))*B19</f>
        <v>0</v>
      </c>
      <c r="C37" s="839"/>
      <c r="D37" s="231">
        <f t="shared" si="0"/>
        <v>0</v>
      </c>
      <c r="E37" s="246"/>
    </row>
    <row r="38" spans="1:5">
      <c r="A38" s="247" t="s">
        <v>197</v>
      </c>
      <c r="B38" s="82">
        <f>(IF(B4&lt;=2,B18,0))*B19</f>
        <v>12</v>
      </c>
      <c r="C38" s="839"/>
      <c r="D38" s="231">
        <f t="shared" si="0"/>
        <v>0</v>
      </c>
      <c r="E38" s="246"/>
    </row>
    <row r="39" spans="1:5">
      <c r="A39" s="247" t="s">
        <v>349</v>
      </c>
      <c r="B39" s="82">
        <f>B19</f>
        <v>2</v>
      </c>
      <c r="C39" s="839"/>
      <c r="D39" s="231">
        <f t="shared" si="0"/>
        <v>0</v>
      </c>
    </row>
    <row r="40" spans="1:5">
      <c r="A40" s="247" t="s">
        <v>337</v>
      </c>
      <c r="B40" s="82">
        <f>B19</f>
        <v>2</v>
      </c>
      <c r="C40" s="839"/>
      <c r="D40" s="231">
        <f t="shared" si="0"/>
        <v>0</v>
      </c>
    </row>
    <row r="41" spans="1:5">
      <c r="A41" s="247" t="s">
        <v>350</v>
      </c>
      <c r="B41" s="82">
        <f>B19</f>
        <v>2</v>
      </c>
      <c r="C41" s="839"/>
      <c r="D41" s="231">
        <f t="shared" si="0"/>
        <v>0</v>
      </c>
    </row>
    <row r="42" spans="1:5">
      <c r="A42" s="247" t="s">
        <v>348</v>
      </c>
      <c r="B42" s="82">
        <f>B19</f>
        <v>2</v>
      </c>
      <c r="C42" s="839"/>
      <c r="D42" s="231">
        <f t="shared" si="0"/>
        <v>0</v>
      </c>
      <c r="E42" s="73"/>
    </row>
    <row r="43" spans="1:5">
      <c r="A43" s="247" t="s">
        <v>352</v>
      </c>
      <c r="B43" s="82">
        <f>(B4+0.2)*B19*B18+($B$3+2*$B$4+0.3)*$B$7</f>
        <v>32.700000000000003</v>
      </c>
      <c r="C43" s="839"/>
      <c r="D43" s="231">
        <f>B43*C43</f>
        <v>0</v>
      </c>
      <c r="E43" s="73"/>
    </row>
    <row r="44" spans="1:5">
      <c r="A44" s="247" t="s">
        <v>338</v>
      </c>
      <c r="B44" s="82">
        <f>IF(B17=1,(B4+0.1)*B18*B19,0)</f>
        <v>25.200000000000003</v>
      </c>
      <c r="C44" s="839"/>
      <c r="D44" s="231">
        <f t="shared" si="0"/>
        <v>0</v>
      </c>
      <c r="E44" s="73"/>
    </row>
    <row r="45" spans="1:5" ht="11.25" customHeight="1">
      <c r="A45" s="133" t="s">
        <v>163</v>
      </c>
      <c r="B45" s="82">
        <f>B8</f>
        <v>2</v>
      </c>
      <c r="C45" s="839"/>
      <c r="D45" s="231">
        <f>B45*C45</f>
        <v>0</v>
      </c>
    </row>
    <row r="46" spans="1:5" ht="11.25" customHeight="1" thickBot="1">
      <c r="A46" s="30" t="s">
        <v>173</v>
      </c>
      <c r="B46" s="82">
        <f>B9</f>
        <v>3</v>
      </c>
      <c r="C46" s="839"/>
      <c r="D46" s="231">
        <f>B46*C46</f>
        <v>0</v>
      </c>
    </row>
    <row r="47" spans="1:5" ht="12" thickBot="1">
      <c r="A47" s="1201"/>
      <c r="B47" s="1202"/>
      <c r="C47" s="1202"/>
      <c r="D47" s="1203"/>
    </row>
    <row r="48" spans="1:5" ht="12.75">
      <c r="A48" s="1198" t="s">
        <v>183</v>
      </c>
      <c r="B48" s="1199"/>
      <c r="C48" s="1199"/>
      <c r="D48" s="1200"/>
    </row>
    <row r="49" spans="1:8">
      <c r="A49" s="184" t="s">
        <v>339</v>
      </c>
      <c r="B49" s="82">
        <f>IF(B11=1,F64*B19,0)</f>
        <v>0</v>
      </c>
      <c r="C49" s="839"/>
      <c r="D49" s="231">
        <f t="shared" si="0"/>
        <v>0</v>
      </c>
      <c r="E49" s="73"/>
    </row>
    <row r="50" spans="1:8">
      <c r="A50" s="184" t="s">
        <v>340</v>
      </c>
      <c r="B50" s="82">
        <f>B7*2</f>
        <v>2</v>
      </c>
      <c r="C50" s="839"/>
      <c r="D50" s="231">
        <f t="shared" si="0"/>
        <v>0</v>
      </c>
      <c r="E50" s="73"/>
    </row>
    <row r="51" spans="1:8">
      <c r="A51" s="184" t="s">
        <v>317</v>
      </c>
      <c r="B51" s="82">
        <f>IF(B12=1,F64*B19+2*B7,0)</f>
        <v>0</v>
      </c>
      <c r="C51" s="839"/>
      <c r="D51" s="231">
        <f t="shared" si="0"/>
        <v>0</v>
      </c>
      <c r="E51" s="73"/>
    </row>
    <row r="52" spans="1:8">
      <c r="A52" s="184" t="s">
        <v>318</v>
      </c>
      <c r="B52" s="82">
        <f>IF(B13=1,F64*B19+2*B7,0)</f>
        <v>0</v>
      </c>
      <c r="C52" s="839"/>
      <c r="D52" s="231">
        <v>0</v>
      </c>
    </row>
    <row r="53" spans="1:8">
      <c r="A53" s="184" t="s">
        <v>319</v>
      </c>
      <c r="B53" s="82">
        <f>IF(B14=1,F64*B19+2*B7,0)</f>
        <v>0</v>
      </c>
      <c r="C53" s="839"/>
      <c r="D53" s="231">
        <f t="shared" si="0"/>
        <v>0</v>
      </c>
    </row>
    <row r="54" spans="1:8">
      <c r="A54" s="184" t="s">
        <v>320</v>
      </c>
      <c r="B54" s="82">
        <f>IF(B15=1,F64*B19+2*B7,0)</f>
        <v>12</v>
      </c>
      <c r="C54" s="839"/>
      <c r="D54" s="231">
        <f>B54*C54</f>
        <v>0</v>
      </c>
    </row>
    <row r="55" spans="1:8">
      <c r="A55" s="184"/>
      <c r="B55" s="82"/>
      <c r="C55" s="839"/>
      <c r="D55" s="231"/>
    </row>
    <row r="56" spans="1:8">
      <c r="A56" s="184"/>
      <c r="B56" s="82"/>
      <c r="C56" s="839" t="s">
        <v>9</v>
      </c>
      <c r="D56" s="231">
        <f>SUM(D22:D55)</f>
        <v>35.946000000000005</v>
      </c>
    </row>
    <row r="60" spans="1:8">
      <c r="G60">
        <f>CEILING((B3-0.15)/0.6,1)+1</f>
        <v>5</v>
      </c>
    </row>
    <row r="62" spans="1:8" ht="12" thickBot="1">
      <c r="F62" s="1185" t="s">
        <v>29</v>
      </c>
      <c r="G62" s="1185"/>
      <c r="H62" s="1185"/>
    </row>
    <row r="63" spans="1:8">
      <c r="F63" s="1219" t="s">
        <v>341</v>
      </c>
      <c r="G63" s="1220"/>
      <c r="H63" s="1161"/>
    </row>
    <row r="64" spans="1:8">
      <c r="F64" s="242">
        <f>G60</f>
        <v>5</v>
      </c>
      <c r="G64" s="229">
        <f>F64*B6</f>
        <v>5</v>
      </c>
      <c r="H64" s="230">
        <v>0</v>
      </c>
    </row>
    <row r="65" spans="6:8">
      <c r="F65" s="242">
        <f>G60*2</f>
        <v>10</v>
      </c>
      <c r="G65" s="229">
        <f>F65*B7</f>
        <v>10</v>
      </c>
      <c r="H65" s="230">
        <v>0</v>
      </c>
    </row>
    <row r="66" spans="6:8" ht="12" thickBot="1">
      <c r="F66" s="243">
        <f>G60</f>
        <v>5</v>
      </c>
      <c r="G66" s="232" t="e">
        <f>F66*#REF!</f>
        <v>#REF!</v>
      </c>
      <c r="H66" s="233" t="e">
        <f>2*#REF!</f>
        <v>#REF!</v>
      </c>
    </row>
    <row r="67" spans="6:8" ht="12" thickBot="1">
      <c r="F67" s="244">
        <f>SUM(F64:F66)</f>
        <v>20</v>
      </c>
      <c r="G67" s="245" t="e">
        <f>SUM(G64:G66)</f>
        <v>#REF!</v>
      </c>
      <c r="H67" s="245" t="e">
        <f>SUM(H64:H66)</f>
        <v>#REF!</v>
      </c>
    </row>
    <row r="68" spans="6:8">
      <c r="F68" s="113" t="s">
        <v>342</v>
      </c>
      <c r="G68" s="113" t="s">
        <v>343</v>
      </c>
      <c r="H68" s="113" t="s">
        <v>344</v>
      </c>
    </row>
  </sheetData>
  <sheetProtection algorithmName="SHA-512" hashValue="FqFTJq1tL22GhBPmxmkUszFcAiXjw8c1pS7MkzcFsBCUMABd5psphycPk9nUjiVLW6+IiTHdCmCsJHp77KFXsw==" saltValue="JVEPiUg93ZZL6XJUmS5y/w==" spinCount="100000" sheet="1" objects="1" scenarios="1"/>
  <mergeCells count="24">
    <mergeCell ref="C14:D14"/>
    <mergeCell ref="C8:D8"/>
    <mergeCell ref="C9:D9"/>
    <mergeCell ref="A1:D1"/>
    <mergeCell ref="A2:D2"/>
    <mergeCell ref="C3:D3"/>
    <mergeCell ref="C4:D4"/>
    <mergeCell ref="C5:D5"/>
    <mergeCell ref="C6:D6"/>
    <mergeCell ref="C7:D7"/>
    <mergeCell ref="A10:D10"/>
    <mergeCell ref="C11:D11"/>
    <mergeCell ref="C12:D12"/>
    <mergeCell ref="C13:D13"/>
    <mergeCell ref="A47:D47"/>
    <mergeCell ref="A48:D48"/>
    <mergeCell ref="F62:H62"/>
    <mergeCell ref="F63:H63"/>
    <mergeCell ref="C15:D15"/>
    <mergeCell ref="A16:D16"/>
    <mergeCell ref="C17:D17"/>
    <mergeCell ref="C18:D18"/>
    <mergeCell ref="C19:D19"/>
    <mergeCell ref="A20:D2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J68"/>
  <sheetViews>
    <sheetView topLeftCell="A16" workbookViewId="0">
      <selection activeCell="C49" sqref="C49:C56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40" customWidth="1"/>
    <col min="6" max="6" width="5.5" bestFit="1" customWidth="1"/>
    <col min="7" max="7" width="9.5" bestFit="1" customWidth="1"/>
  </cols>
  <sheetData>
    <row r="1" spans="1:10" ht="27" thickBot="1">
      <c r="A1" s="1053" t="s">
        <v>353</v>
      </c>
      <c r="B1" s="1054"/>
      <c r="C1" s="1054"/>
      <c r="D1" s="1076"/>
    </row>
    <row r="2" spans="1:10" ht="15" thickBot="1">
      <c r="A2" s="1077" t="s">
        <v>3</v>
      </c>
      <c r="B2" s="1078"/>
      <c r="C2" s="1078"/>
      <c r="D2" s="1079"/>
    </row>
    <row r="3" spans="1:10">
      <c r="A3" s="237" t="s">
        <v>178</v>
      </c>
      <c r="B3" s="834">
        <v>2</v>
      </c>
      <c r="C3" s="1081" t="s">
        <v>30</v>
      </c>
      <c r="D3" s="1056"/>
    </row>
    <row r="4" spans="1:10">
      <c r="A4" s="238" t="s">
        <v>179</v>
      </c>
      <c r="B4" s="925">
        <v>2</v>
      </c>
      <c r="C4" s="1128" t="s">
        <v>30</v>
      </c>
      <c r="D4" s="1129"/>
    </row>
    <row r="5" spans="1:10" ht="12" thickBot="1">
      <c r="A5" s="239" t="s">
        <v>315</v>
      </c>
      <c r="B5" s="926">
        <v>0.5</v>
      </c>
      <c r="C5" s="1223" t="s">
        <v>30</v>
      </c>
      <c r="D5" s="1224"/>
    </row>
    <row r="6" spans="1:10">
      <c r="A6" s="180" t="s">
        <v>354</v>
      </c>
      <c r="B6" s="918">
        <v>1</v>
      </c>
      <c r="C6" s="1225" t="s">
        <v>30</v>
      </c>
      <c r="D6" s="1226"/>
      <c r="H6" s="71"/>
    </row>
    <row r="7" spans="1:10" ht="12" thickBot="1">
      <c r="A7" s="240" t="s">
        <v>355</v>
      </c>
      <c r="B7" s="927">
        <v>1</v>
      </c>
      <c r="C7" s="1227" t="s">
        <v>30</v>
      </c>
      <c r="D7" s="1228"/>
      <c r="H7" s="71"/>
    </row>
    <row r="8" spans="1:10">
      <c r="A8" s="172" t="s">
        <v>144</v>
      </c>
      <c r="B8" s="904">
        <v>2</v>
      </c>
      <c r="C8" s="1218" t="s">
        <v>30</v>
      </c>
      <c r="D8" s="1218"/>
      <c r="E8" s="192"/>
      <c r="H8" s="71"/>
      <c r="I8" s="71"/>
      <c r="J8" s="71"/>
    </row>
    <row r="9" spans="1:10" ht="12" thickBot="1">
      <c r="A9" s="139" t="s">
        <v>147</v>
      </c>
      <c r="B9" s="896">
        <v>3</v>
      </c>
      <c r="C9" s="1194" t="s">
        <v>30</v>
      </c>
      <c r="D9" s="1194"/>
      <c r="E9" s="193"/>
      <c r="H9" s="71"/>
      <c r="I9" s="71"/>
      <c r="J9" s="71"/>
    </row>
    <row r="10" spans="1:10" ht="12" thickBot="1">
      <c r="A10" s="1195" t="s">
        <v>183</v>
      </c>
      <c r="B10" s="1195"/>
      <c r="C10" s="1195"/>
      <c r="D10" s="1195"/>
      <c r="H10" s="71"/>
    </row>
    <row r="11" spans="1:10">
      <c r="A11" s="180" t="s">
        <v>316</v>
      </c>
      <c r="B11" s="918">
        <v>0</v>
      </c>
      <c r="C11" s="1196" t="s">
        <v>33</v>
      </c>
      <c r="D11" s="1197"/>
      <c r="H11" s="71"/>
    </row>
    <row r="12" spans="1:10">
      <c r="A12" s="181" t="s">
        <v>317</v>
      </c>
      <c r="B12" s="919">
        <v>0</v>
      </c>
      <c r="C12" s="1125" t="s">
        <v>33</v>
      </c>
      <c r="D12" s="1126"/>
      <c r="F12" s="71"/>
      <c r="G12" s="71"/>
      <c r="H12" s="71"/>
    </row>
    <row r="13" spans="1:10">
      <c r="A13" s="181" t="s">
        <v>318</v>
      </c>
      <c r="B13" s="920">
        <v>0</v>
      </c>
      <c r="C13" s="1127" t="s">
        <v>33</v>
      </c>
      <c r="D13" s="1129"/>
      <c r="F13" s="71"/>
      <c r="G13" s="71"/>
      <c r="H13" s="71"/>
    </row>
    <row r="14" spans="1:10">
      <c r="A14" s="181" t="s">
        <v>319</v>
      </c>
      <c r="B14" s="919">
        <v>0</v>
      </c>
      <c r="C14" s="1125" t="s">
        <v>33</v>
      </c>
      <c r="D14" s="1126"/>
      <c r="F14" s="71"/>
      <c r="G14" s="71"/>
      <c r="H14" s="71"/>
    </row>
    <row r="15" spans="1:10" ht="12" thickBot="1">
      <c r="A15" s="240" t="s">
        <v>320</v>
      </c>
      <c r="B15" s="928">
        <v>1</v>
      </c>
      <c r="C15" s="1221" t="s">
        <v>33</v>
      </c>
      <c r="D15" s="1222"/>
      <c r="F15" s="71"/>
      <c r="G15" s="71"/>
      <c r="H15" s="71"/>
    </row>
    <row r="16" spans="1:10" ht="12" thickBot="1">
      <c r="A16" s="1208"/>
      <c r="B16" s="1209"/>
      <c r="C16" s="1209"/>
      <c r="D16" s="1210"/>
      <c r="F16" s="71"/>
      <c r="G16" s="71"/>
      <c r="H16" s="71"/>
    </row>
    <row r="17" spans="1:8" ht="12" thickBot="1">
      <c r="A17" s="241" t="s">
        <v>321</v>
      </c>
      <c r="B17" s="921">
        <v>1</v>
      </c>
      <c r="C17" s="1211" t="s">
        <v>322</v>
      </c>
      <c r="D17" s="1212"/>
      <c r="F17" s="71"/>
      <c r="G17" s="71"/>
      <c r="H17" s="71"/>
    </row>
    <row r="18" spans="1:8">
      <c r="A18" s="182" t="s">
        <v>187</v>
      </c>
      <c r="B18" s="921">
        <f>CEILING((B3-0.15)/0.4,1)+1</f>
        <v>6</v>
      </c>
      <c r="C18" s="1211" t="s">
        <v>29</v>
      </c>
      <c r="D18" s="1212"/>
      <c r="E18" s="73"/>
      <c r="F18" s="71"/>
      <c r="G18" s="71"/>
      <c r="H18" s="71"/>
    </row>
    <row r="19" spans="1:8" ht="12" thickBot="1">
      <c r="A19" s="183" t="s">
        <v>188</v>
      </c>
      <c r="B19" s="922">
        <f>SUM(B6:B7)</f>
        <v>2</v>
      </c>
      <c r="C19" s="1213" t="s">
        <v>29</v>
      </c>
      <c r="D19" s="1214"/>
      <c r="E19" s="73"/>
      <c r="F19" s="71"/>
      <c r="G19" s="71"/>
      <c r="H19" s="71"/>
    </row>
    <row r="20" spans="1:8" ht="12" thickBot="1">
      <c r="A20" s="1167"/>
      <c r="B20" s="1167"/>
      <c r="C20" s="1167"/>
      <c r="D20" s="1167"/>
      <c r="F20" s="71"/>
      <c r="G20" s="71"/>
      <c r="H20" s="71"/>
    </row>
    <row r="21" spans="1:8" ht="12.75">
      <c r="A21" s="234" t="s">
        <v>7</v>
      </c>
      <c r="B21" s="235" t="s">
        <v>0</v>
      </c>
      <c r="C21" s="58" t="s">
        <v>4</v>
      </c>
      <c r="D21" s="236" t="s">
        <v>8</v>
      </c>
      <c r="F21" s="71"/>
      <c r="G21" s="71"/>
      <c r="H21" s="71"/>
    </row>
    <row r="22" spans="1:8">
      <c r="A22" s="247" t="s">
        <v>323</v>
      </c>
      <c r="B22" s="81">
        <f>(B3-0.003)*B19</f>
        <v>3.9940000000000002</v>
      </c>
      <c r="C22" s="842">
        <v>9</v>
      </c>
      <c r="D22" s="230">
        <f t="shared" ref="D22:D53" si="0">B22*C22</f>
        <v>35.946000000000005</v>
      </c>
      <c r="F22" s="71"/>
      <c r="G22" s="71"/>
      <c r="H22" s="71"/>
    </row>
    <row r="23" spans="1:8">
      <c r="A23" s="247" t="s">
        <v>324</v>
      </c>
      <c r="B23" s="81">
        <f>(B3-0.003)*B19*2</f>
        <v>7.9880000000000004</v>
      </c>
      <c r="C23" s="842"/>
      <c r="D23" s="230">
        <f t="shared" si="0"/>
        <v>0</v>
      </c>
      <c r="F23" s="71"/>
      <c r="G23" s="71"/>
      <c r="H23" s="71"/>
    </row>
    <row r="24" spans="1:8">
      <c r="A24" s="247" t="s">
        <v>325</v>
      </c>
      <c r="B24" s="82">
        <f>(B3-0.003)*B19*3</f>
        <v>11.982000000000001</v>
      </c>
      <c r="C24" s="839"/>
      <c r="D24" s="231">
        <f t="shared" si="0"/>
        <v>0</v>
      </c>
      <c r="F24" s="71"/>
      <c r="G24" s="71"/>
      <c r="H24" s="71"/>
    </row>
    <row r="25" spans="1:8">
      <c r="A25" s="247" t="s">
        <v>326</v>
      </c>
      <c r="B25" s="82">
        <f>(B3-0.002)*B19*2</f>
        <v>7.992</v>
      </c>
      <c r="C25" s="839"/>
      <c r="D25" s="231">
        <f t="shared" si="0"/>
        <v>0</v>
      </c>
    </row>
    <row r="26" spans="1:8">
      <c r="A26" s="247" t="s">
        <v>327</v>
      </c>
      <c r="B26" s="82">
        <f>(B3-0.695)*B19</f>
        <v>2.6100000000000003</v>
      </c>
      <c r="C26" s="839"/>
      <c r="D26" s="231">
        <f t="shared" si="0"/>
        <v>0</v>
      </c>
    </row>
    <row r="27" spans="1:8">
      <c r="A27" s="247" t="s">
        <v>328</v>
      </c>
      <c r="B27" s="82">
        <f>B28</f>
        <v>2</v>
      </c>
      <c r="C27" s="839"/>
      <c r="D27" s="231"/>
    </row>
    <row r="28" spans="1:8">
      <c r="A28" s="247" t="s">
        <v>329</v>
      </c>
      <c r="B28" s="82">
        <f>2*B7</f>
        <v>2</v>
      </c>
      <c r="C28" s="839"/>
      <c r="D28" s="231">
        <f t="shared" si="0"/>
        <v>0</v>
      </c>
    </row>
    <row r="29" spans="1:8">
      <c r="A29" s="247" t="s">
        <v>330</v>
      </c>
      <c r="B29" s="82">
        <f>B19*2</f>
        <v>4</v>
      </c>
      <c r="C29" s="839"/>
      <c r="D29" s="231">
        <f t="shared" si="0"/>
        <v>0</v>
      </c>
    </row>
    <row r="30" spans="1:8">
      <c r="A30" s="247" t="s">
        <v>331</v>
      </c>
      <c r="B30" s="82">
        <f>4*B19</f>
        <v>8</v>
      </c>
      <c r="C30" s="839"/>
      <c r="D30" s="231">
        <f t="shared" si="0"/>
        <v>0</v>
      </c>
    </row>
    <row r="31" spans="1:8">
      <c r="A31" s="247" t="s">
        <v>332</v>
      </c>
      <c r="B31" s="82">
        <f>B18*B19*2</f>
        <v>24</v>
      </c>
      <c r="C31" s="839"/>
      <c r="D31" s="231">
        <f t="shared" si="0"/>
        <v>0</v>
      </c>
    </row>
    <row r="32" spans="1:8">
      <c r="A32" s="247" t="s">
        <v>333</v>
      </c>
      <c r="B32" s="82">
        <f>B18*B19</f>
        <v>12</v>
      </c>
      <c r="C32" s="839"/>
      <c r="D32" s="231">
        <f t="shared" si="0"/>
        <v>0</v>
      </c>
    </row>
    <row r="33" spans="1:5">
      <c r="A33" s="247" t="s">
        <v>334</v>
      </c>
      <c r="B33" s="82">
        <f>IF($B$17=1,$B$18*$B$19,0)</f>
        <v>12</v>
      </c>
      <c r="C33" s="839"/>
      <c r="D33" s="231">
        <f t="shared" si="0"/>
        <v>0</v>
      </c>
    </row>
    <row r="34" spans="1:5">
      <c r="A34" s="247" t="s">
        <v>335</v>
      </c>
      <c r="B34" s="82">
        <f>B33</f>
        <v>12</v>
      </c>
      <c r="C34" s="839"/>
      <c r="D34" s="231">
        <f t="shared" si="0"/>
        <v>0</v>
      </c>
    </row>
    <row r="35" spans="1:5">
      <c r="A35" s="247" t="s">
        <v>205</v>
      </c>
      <c r="B35" s="82">
        <f>B18*4*B19+8*B7</f>
        <v>56</v>
      </c>
      <c r="C35" s="839"/>
      <c r="D35" s="231">
        <f t="shared" si="0"/>
        <v>0</v>
      </c>
      <c r="E35" t="s">
        <v>357</v>
      </c>
    </row>
    <row r="36" spans="1:5">
      <c r="A36" s="247" t="s">
        <v>336</v>
      </c>
      <c r="B36" s="82">
        <f>1*B7</f>
        <v>1</v>
      </c>
      <c r="C36" s="839"/>
      <c r="D36" s="231">
        <f t="shared" si="0"/>
        <v>0</v>
      </c>
    </row>
    <row r="37" spans="1:5">
      <c r="A37" s="247" t="s">
        <v>196</v>
      </c>
      <c r="B37" s="82">
        <f>(IF(B4&gt;2,B18,0))*B19</f>
        <v>0</v>
      </c>
      <c r="C37" s="839"/>
      <c r="D37" s="231">
        <f t="shared" si="0"/>
        <v>0</v>
      </c>
      <c r="E37" s="1229" t="s">
        <v>356</v>
      </c>
    </row>
    <row r="38" spans="1:5">
      <c r="A38" s="247" t="s">
        <v>197</v>
      </c>
      <c r="B38" s="82">
        <f>(IF(B4&lt;=2,B18,0))*B19</f>
        <v>12</v>
      </c>
      <c r="C38" s="839"/>
      <c r="D38" s="231">
        <f t="shared" si="0"/>
        <v>0</v>
      </c>
      <c r="E38" s="1229"/>
    </row>
    <row r="39" spans="1:5">
      <c r="A39" s="247" t="s">
        <v>349</v>
      </c>
      <c r="B39" s="82">
        <f>B19</f>
        <v>2</v>
      </c>
      <c r="C39" s="839"/>
      <c r="D39" s="231">
        <f t="shared" si="0"/>
        <v>0</v>
      </c>
    </row>
    <row r="40" spans="1:5">
      <c r="A40" s="247" t="s">
        <v>337</v>
      </c>
      <c r="B40" s="82">
        <f>B19</f>
        <v>2</v>
      </c>
      <c r="C40" s="839"/>
      <c r="D40" s="231">
        <f t="shared" si="0"/>
        <v>0</v>
      </c>
    </row>
    <row r="41" spans="1:5">
      <c r="A41" s="247" t="s">
        <v>350</v>
      </c>
      <c r="B41" s="82">
        <f>B19</f>
        <v>2</v>
      </c>
      <c r="C41" s="839"/>
      <c r="D41" s="231">
        <f t="shared" si="0"/>
        <v>0</v>
      </c>
    </row>
    <row r="42" spans="1:5">
      <c r="A42" s="247" t="s">
        <v>348</v>
      </c>
      <c r="B42" s="82">
        <f>B19</f>
        <v>2</v>
      </c>
      <c r="C42" s="839"/>
      <c r="D42" s="231">
        <f t="shared" si="0"/>
        <v>0</v>
      </c>
      <c r="E42" s="73"/>
    </row>
    <row r="43" spans="1:5">
      <c r="A43" s="247" t="s">
        <v>352</v>
      </c>
      <c r="B43" s="82">
        <f>((B4*2+0.2)*(B18-2)+(B4+0.2)*3)*B19+($B$3+2*$B$4+0.3)*$B$7</f>
        <v>53.1</v>
      </c>
      <c r="C43" s="839"/>
      <c r="D43" s="231">
        <f t="shared" si="0"/>
        <v>0</v>
      </c>
      <c r="E43" s="73"/>
    </row>
    <row r="44" spans="1:5">
      <c r="A44" s="247" t="s">
        <v>338</v>
      </c>
      <c r="B44" s="82">
        <f>IF(B17=1,(B4+0.1)*B18*B19,0)</f>
        <v>25.200000000000003</v>
      </c>
      <c r="C44" s="839"/>
      <c r="D44" s="231">
        <f t="shared" si="0"/>
        <v>0</v>
      </c>
      <c r="E44" s="73"/>
    </row>
    <row r="45" spans="1:5" ht="11.25" customHeight="1">
      <c r="A45" s="248" t="s">
        <v>163</v>
      </c>
      <c r="B45" s="82">
        <f>B8</f>
        <v>2</v>
      </c>
      <c r="C45" s="839"/>
      <c r="D45" s="231">
        <f t="shared" si="0"/>
        <v>0</v>
      </c>
    </row>
    <row r="46" spans="1:5" ht="11.25" customHeight="1" thickBot="1">
      <c r="A46" s="249" t="s">
        <v>173</v>
      </c>
      <c r="B46" s="82">
        <f>B9</f>
        <v>3</v>
      </c>
      <c r="C46" s="839"/>
      <c r="D46" s="231">
        <f t="shared" si="0"/>
        <v>0</v>
      </c>
    </row>
    <row r="47" spans="1:5" ht="12" thickBot="1">
      <c r="A47" s="1201"/>
      <c r="B47" s="1202"/>
      <c r="C47" s="1202"/>
      <c r="D47" s="1203"/>
    </row>
    <row r="48" spans="1:5" ht="12.75">
      <c r="A48" s="1198" t="s">
        <v>183</v>
      </c>
      <c r="B48" s="1199"/>
      <c r="C48" s="1199"/>
      <c r="D48" s="1200"/>
    </row>
    <row r="49" spans="1:8">
      <c r="A49" s="184" t="s">
        <v>339</v>
      </c>
      <c r="B49" s="82">
        <f>IF(B11=1,F64*B19,0)</f>
        <v>0</v>
      </c>
      <c r="C49" s="839"/>
      <c r="D49" s="231">
        <f t="shared" si="0"/>
        <v>0</v>
      </c>
      <c r="E49" s="73"/>
    </row>
    <row r="50" spans="1:8">
      <c r="A50" s="184" t="s">
        <v>340</v>
      </c>
      <c r="B50" s="82">
        <f>B7*2</f>
        <v>2</v>
      </c>
      <c r="C50" s="839"/>
      <c r="D50" s="231">
        <f t="shared" si="0"/>
        <v>0</v>
      </c>
      <c r="E50" s="73"/>
    </row>
    <row r="51" spans="1:8">
      <c r="A51" s="184" t="s">
        <v>317</v>
      </c>
      <c r="B51" s="82">
        <f>IF(B12=1,F64*B19+2*B7,0)</f>
        <v>0</v>
      </c>
      <c r="C51" s="839"/>
      <c r="D51" s="231">
        <f t="shared" si="0"/>
        <v>0</v>
      </c>
      <c r="E51" s="73"/>
    </row>
    <row r="52" spans="1:8">
      <c r="A52" s="184" t="s">
        <v>318</v>
      </c>
      <c r="B52" s="82">
        <f>IF(B13=1,F64*B19+2*B7,0)</f>
        <v>0</v>
      </c>
      <c r="C52" s="839"/>
      <c r="D52" s="231">
        <v>0</v>
      </c>
    </row>
    <row r="53" spans="1:8">
      <c r="A53" s="184" t="s">
        <v>319</v>
      </c>
      <c r="B53" s="82">
        <f>IF(B14=1,F64*B19+2*B7,0)</f>
        <v>0</v>
      </c>
      <c r="C53" s="839"/>
      <c r="D53" s="231">
        <f t="shared" si="0"/>
        <v>0</v>
      </c>
    </row>
    <row r="54" spans="1:8">
      <c r="A54" s="184" t="s">
        <v>320</v>
      </c>
      <c r="B54" s="82">
        <f>IF(B15=1,F64*B19+2*B7,0)</f>
        <v>12</v>
      </c>
      <c r="C54" s="839"/>
      <c r="D54" s="231">
        <f>B54*C54</f>
        <v>0</v>
      </c>
    </row>
    <row r="55" spans="1:8">
      <c r="A55" s="184"/>
      <c r="B55" s="82"/>
      <c r="C55" s="839"/>
      <c r="D55" s="231"/>
    </row>
    <row r="56" spans="1:8">
      <c r="A56" s="184"/>
      <c r="B56" s="82"/>
      <c r="C56" s="839" t="s">
        <v>9</v>
      </c>
      <c r="D56" s="231">
        <f>SUM(D22:D55)</f>
        <v>35.946000000000005</v>
      </c>
    </row>
    <row r="60" spans="1:8">
      <c r="G60">
        <f>CEILING((B3-0.15)/0.6,1)+1</f>
        <v>5</v>
      </c>
    </row>
    <row r="62" spans="1:8" ht="12" thickBot="1">
      <c r="F62" s="1185" t="s">
        <v>29</v>
      </c>
      <c r="G62" s="1185"/>
      <c r="H62" s="1185"/>
    </row>
    <row r="63" spans="1:8">
      <c r="F63" s="1219" t="s">
        <v>341</v>
      </c>
      <c r="G63" s="1220"/>
      <c r="H63" s="1161"/>
    </row>
    <row r="64" spans="1:8">
      <c r="F64" s="242">
        <f>G60</f>
        <v>5</v>
      </c>
      <c r="G64" s="229">
        <f>F64*B6</f>
        <v>5</v>
      </c>
      <c r="H64" s="230">
        <v>0</v>
      </c>
    </row>
    <row r="65" spans="6:8">
      <c r="F65" s="242">
        <f>G60*2</f>
        <v>10</v>
      </c>
      <c r="G65" s="229">
        <f>F65*B7</f>
        <v>10</v>
      </c>
      <c r="H65" s="230">
        <v>0</v>
      </c>
    </row>
    <row r="66" spans="6:8" ht="12" thickBot="1">
      <c r="F66" s="243">
        <f>G60</f>
        <v>5</v>
      </c>
      <c r="G66" s="232" t="e">
        <f>F66*#REF!</f>
        <v>#REF!</v>
      </c>
      <c r="H66" s="233" t="e">
        <f>2*#REF!</f>
        <v>#REF!</v>
      </c>
    </row>
    <row r="67" spans="6:8" ht="12" thickBot="1">
      <c r="F67" s="244">
        <f>SUM(F64:F66)</f>
        <v>20</v>
      </c>
      <c r="G67" s="245" t="e">
        <f>SUM(G64:G66)</f>
        <v>#REF!</v>
      </c>
      <c r="H67" s="245" t="e">
        <f>SUM(H64:H66)</f>
        <v>#REF!</v>
      </c>
    </row>
    <row r="68" spans="6:8">
      <c r="F68" s="113" t="s">
        <v>342</v>
      </c>
      <c r="G68" s="113" t="s">
        <v>343</v>
      </c>
      <c r="H68" s="113" t="s">
        <v>344</v>
      </c>
    </row>
  </sheetData>
  <sheetProtection algorithmName="SHA-512" hashValue="WkBzfPKeTaOm2SxD0UTYXnD6KKsaaUI3u7rS5jno4Pd0n2a7KxbduoIQEuFBzgYHXh/QjxZjla4/ElzekG3iVA==" saltValue="LL2aOnKCj6sVBwMlxMlzGA==" spinCount="100000" sheet="1" objects="1" scenarios="1"/>
  <mergeCells count="25">
    <mergeCell ref="C12:D12"/>
    <mergeCell ref="A1:D1"/>
    <mergeCell ref="A2:D2"/>
    <mergeCell ref="C3:D3"/>
    <mergeCell ref="C4:D4"/>
    <mergeCell ref="C5:D5"/>
    <mergeCell ref="C6:D6"/>
    <mergeCell ref="C7:D7"/>
    <mergeCell ref="C8:D8"/>
    <mergeCell ref="C9:D9"/>
    <mergeCell ref="A10:D10"/>
    <mergeCell ref="C11:D11"/>
    <mergeCell ref="F63:H63"/>
    <mergeCell ref="E37:E38"/>
    <mergeCell ref="C13:D13"/>
    <mergeCell ref="C14:D14"/>
    <mergeCell ref="C15:D15"/>
    <mergeCell ref="A16:D16"/>
    <mergeCell ref="C17:D17"/>
    <mergeCell ref="C18:D18"/>
    <mergeCell ref="C19:D19"/>
    <mergeCell ref="A20:D20"/>
    <mergeCell ref="A47:D47"/>
    <mergeCell ref="A48:D48"/>
    <mergeCell ref="F62:H6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D44"/>
  <sheetViews>
    <sheetView zoomScale="115" zoomScaleNormal="115" workbookViewId="0">
      <selection activeCell="H19" sqref="H19"/>
    </sheetView>
  </sheetViews>
  <sheetFormatPr defaultRowHeight="11.25"/>
  <cols>
    <col min="1" max="1" width="51.5" customWidth="1"/>
    <col min="2" max="2" width="25.33203125" customWidth="1"/>
    <col min="3" max="3" width="13.1640625" customWidth="1"/>
    <col min="4" max="4" width="13.83203125" customWidth="1"/>
    <col min="13" max="13" width="46" customWidth="1"/>
    <col min="14" max="14" width="32.6640625" customWidth="1"/>
  </cols>
  <sheetData>
    <row r="1" spans="1:4" ht="64.5" customHeight="1" thickBot="1">
      <c r="A1" s="1181" t="s">
        <v>248</v>
      </c>
      <c r="B1" s="1169"/>
      <c r="C1" s="1169"/>
      <c r="D1" s="1169"/>
    </row>
    <row r="2" spans="1:4">
      <c r="A2" s="110" t="s">
        <v>10</v>
      </c>
      <c r="B2" s="834">
        <v>10</v>
      </c>
      <c r="C2" s="1081" t="s">
        <v>125</v>
      </c>
      <c r="D2" s="1056"/>
    </row>
    <row r="3" spans="1:4" ht="12" thickBot="1">
      <c r="A3" s="112" t="s">
        <v>1</v>
      </c>
      <c r="B3" s="835">
        <v>1</v>
      </c>
      <c r="C3" s="1182" t="s">
        <v>30</v>
      </c>
      <c r="D3" s="1183"/>
    </row>
    <row r="4" spans="1:4" ht="22.5">
      <c r="A4" s="200" t="s">
        <v>246</v>
      </c>
      <c r="B4" s="906">
        <v>0</v>
      </c>
      <c r="C4" s="1184" t="s">
        <v>30</v>
      </c>
      <c r="D4" s="1049"/>
    </row>
    <row r="5" spans="1:4">
      <c r="A5" s="200" t="s">
        <v>247</v>
      </c>
      <c r="B5" s="906">
        <v>1</v>
      </c>
      <c r="C5" s="1165" t="s">
        <v>30</v>
      </c>
      <c r="D5" s="1166"/>
    </row>
    <row r="6" spans="1:4">
      <c r="A6" s="200" t="s">
        <v>250</v>
      </c>
      <c r="B6" s="906">
        <v>1</v>
      </c>
      <c r="C6" s="1165" t="s">
        <v>30</v>
      </c>
      <c r="D6" s="1166"/>
    </row>
    <row r="7" spans="1:4">
      <c r="A7" s="200" t="s">
        <v>249</v>
      </c>
      <c r="B7" s="906">
        <v>0</v>
      </c>
      <c r="C7" s="1165" t="s">
        <v>30</v>
      </c>
      <c r="D7" s="1166"/>
    </row>
    <row r="8" spans="1:4">
      <c r="A8" s="200" t="s">
        <v>251</v>
      </c>
      <c r="B8" s="906">
        <v>0</v>
      </c>
      <c r="C8" s="1165" t="s">
        <v>30</v>
      </c>
      <c r="D8" s="1166"/>
    </row>
    <row r="9" spans="1:4">
      <c r="A9" s="111" t="s">
        <v>123</v>
      </c>
      <c r="B9" s="836">
        <v>1</v>
      </c>
      <c r="C9" s="1083" t="s">
        <v>29</v>
      </c>
      <c r="D9" s="1084"/>
    </row>
    <row r="10" spans="1:4" ht="33.75" customHeight="1">
      <c r="A10" s="205" t="s">
        <v>257</v>
      </c>
      <c r="B10" s="837">
        <v>1</v>
      </c>
      <c r="C10" s="1230" t="s">
        <v>258</v>
      </c>
      <c r="D10" s="1166"/>
    </row>
    <row r="11" spans="1:4">
      <c r="A11" s="204" t="s">
        <v>254</v>
      </c>
      <c r="B11" s="836">
        <v>1</v>
      </c>
      <c r="C11" s="198" t="s">
        <v>255</v>
      </c>
      <c r="D11" s="197" t="s">
        <v>256</v>
      </c>
    </row>
    <row r="12" spans="1:4" ht="12" thickBot="1">
      <c r="A12" s="148" t="s">
        <v>143</v>
      </c>
      <c r="B12" s="909">
        <v>1</v>
      </c>
      <c r="C12" s="1188" t="s">
        <v>30</v>
      </c>
      <c r="D12" s="1189"/>
    </row>
    <row r="13" spans="1:4" ht="12" thickBot="1">
      <c r="A13" s="1185"/>
      <c r="B13" s="1185"/>
      <c r="C13" s="1185"/>
      <c r="D13" s="1185"/>
    </row>
    <row r="14" spans="1:4" ht="12.75">
      <c r="A14" s="98" t="s">
        <v>5</v>
      </c>
      <c r="B14" s="99" t="s">
        <v>0</v>
      </c>
      <c r="C14" s="119" t="s">
        <v>4</v>
      </c>
      <c r="D14" s="195" t="s">
        <v>8</v>
      </c>
    </row>
    <row r="15" spans="1:4" ht="15">
      <c r="A15" s="201" t="s">
        <v>280</v>
      </c>
      <c r="B15" s="206">
        <f>(B2-0.165)*B9</f>
        <v>9.8350000000000009</v>
      </c>
      <c r="C15" s="854">
        <v>9</v>
      </c>
      <c r="D15" s="196">
        <f t="shared" ref="D15:D36" si="0">C15*B15</f>
        <v>88.515000000000015</v>
      </c>
    </row>
    <row r="16" spans="1:4" ht="15">
      <c r="A16" s="201" t="s">
        <v>690</v>
      </c>
      <c r="B16" s="203">
        <f>ROUNDUP(B2*8*B4,0)+EVEN(B2*8*B5)</f>
        <v>80</v>
      </c>
      <c r="C16" s="854"/>
      <c r="D16" s="196">
        <f t="shared" si="0"/>
        <v>0</v>
      </c>
    </row>
    <row r="17" spans="1:4" ht="15">
      <c r="A17" s="201" t="s">
        <v>252</v>
      </c>
      <c r="B17" s="203">
        <f>B9</f>
        <v>1</v>
      </c>
      <c r="C17" s="854"/>
      <c r="D17" s="196">
        <f t="shared" si="0"/>
        <v>0</v>
      </c>
    </row>
    <row r="18" spans="1:4" ht="15">
      <c r="A18" s="201" t="s">
        <v>253</v>
      </c>
      <c r="B18" s="203">
        <f>B9</f>
        <v>1</v>
      </c>
      <c r="C18" s="854"/>
      <c r="D18" s="196">
        <f t="shared" si="0"/>
        <v>0</v>
      </c>
    </row>
    <row r="19" spans="1:4" ht="15">
      <c r="A19" s="201" t="s">
        <v>234</v>
      </c>
      <c r="B19" s="203">
        <f>ROUNDUP(B2/0.5,0)*B9</f>
        <v>20</v>
      </c>
      <c r="C19" s="854"/>
      <c r="D19" s="196">
        <f t="shared" si="0"/>
        <v>0</v>
      </c>
    </row>
    <row r="20" spans="1:4" ht="15">
      <c r="A20" s="201" t="s">
        <v>237</v>
      </c>
      <c r="B20" s="203">
        <f>(IF(B10=2,ROUNDUP(B2/0.5,0),0))*B9</f>
        <v>0</v>
      </c>
      <c r="C20" s="842"/>
      <c r="D20" s="196">
        <f t="shared" si="0"/>
        <v>0</v>
      </c>
    </row>
    <row r="21" spans="1:4" ht="15">
      <c r="A21" s="201" t="s">
        <v>238</v>
      </c>
      <c r="B21" s="203">
        <f>(IF(B10=3,ROUNDUP(B2/0.5,0),0))*B9</f>
        <v>0</v>
      </c>
      <c r="C21" s="842"/>
      <c r="D21" s="196">
        <f t="shared" si="0"/>
        <v>0</v>
      </c>
    </row>
    <row r="22" spans="1:4" ht="15">
      <c r="A22" s="201" t="s">
        <v>691</v>
      </c>
      <c r="B22" s="203">
        <f>IF(B4=0,B5,B4)</f>
        <v>1</v>
      </c>
      <c r="C22" s="854"/>
      <c r="D22" s="196">
        <f t="shared" si="0"/>
        <v>0</v>
      </c>
    </row>
    <row r="23" spans="1:4" ht="15">
      <c r="A23" s="201" t="s">
        <v>692</v>
      </c>
      <c r="B23" s="203">
        <f>IF(B5=0,0,B5)</f>
        <v>1</v>
      </c>
      <c r="C23" s="854"/>
      <c r="D23" s="734">
        <f t="shared" ref="D23" si="1">C23*B23</f>
        <v>0</v>
      </c>
    </row>
    <row r="24" spans="1:4" ht="15">
      <c r="A24" s="201" t="s">
        <v>693</v>
      </c>
      <c r="B24" s="203">
        <f>IF(B5=0,0,B5)</f>
        <v>1</v>
      </c>
      <c r="C24" s="854"/>
      <c r="D24" s="734"/>
    </row>
    <row r="25" spans="1:4" ht="15">
      <c r="A25" s="201" t="s">
        <v>694</v>
      </c>
      <c r="B25" s="203">
        <f>IF(B5=0,0,B5)</f>
        <v>1</v>
      </c>
      <c r="C25" s="854"/>
      <c r="D25" s="734"/>
    </row>
    <row r="26" spans="1:4" ht="15">
      <c r="A26" s="201" t="s">
        <v>235</v>
      </c>
      <c r="B26" s="203">
        <f>B4*2+4*B5</f>
        <v>4</v>
      </c>
      <c r="C26" s="854"/>
      <c r="D26" s="196">
        <f t="shared" si="0"/>
        <v>0</v>
      </c>
    </row>
    <row r="27" spans="1:4" ht="15">
      <c r="A27" s="201" t="s">
        <v>239</v>
      </c>
      <c r="B27" s="203">
        <f>B2*2+0.11*B9</f>
        <v>20.11</v>
      </c>
      <c r="C27" s="842"/>
      <c r="D27" s="196">
        <f t="shared" si="0"/>
        <v>0</v>
      </c>
    </row>
    <row r="28" spans="1:4" ht="15">
      <c r="A28" s="201" t="s">
        <v>236</v>
      </c>
      <c r="B28" s="203">
        <f>B4*2+B5*4</f>
        <v>4</v>
      </c>
      <c r="C28" s="855"/>
      <c r="D28" s="196">
        <f t="shared" si="0"/>
        <v>0</v>
      </c>
    </row>
    <row r="29" spans="1:4" ht="15">
      <c r="A29" s="201" t="s">
        <v>281</v>
      </c>
      <c r="B29" s="203">
        <f>B4+B5*2</f>
        <v>2</v>
      </c>
      <c r="C29" s="855"/>
      <c r="D29" s="196">
        <f t="shared" si="0"/>
        <v>0</v>
      </c>
    </row>
    <row r="30" spans="1:4" ht="15">
      <c r="A30" s="201" t="s">
        <v>282</v>
      </c>
      <c r="B30" s="203">
        <f>B4</f>
        <v>0</v>
      </c>
      <c r="C30" s="855"/>
      <c r="D30" s="196">
        <f t="shared" si="0"/>
        <v>0</v>
      </c>
    </row>
    <row r="31" spans="1:4" ht="15">
      <c r="A31" s="201" t="s">
        <v>240</v>
      </c>
      <c r="B31" s="203">
        <f>(IF(B11=1,B9,0))</f>
        <v>1</v>
      </c>
      <c r="C31" s="842"/>
      <c r="D31" s="196">
        <f t="shared" si="0"/>
        <v>0</v>
      </c>
    </row>
    <row r="32" spans="1:4">
      <c r="A32" s="201" t="s">
        <v>245</v>
      </c>
      <c r="B32" s="207">
        <f>B12</f>
        <v>1</v>
      </c>
      <c r="C32" s="842"/>
      <c r="D32" s="196">
        <f t="shared" si="0"/>
        <v>0</v>
      </c>
    </row>
    <row r="33" spans="1:4" ht="15">
      <c r="A33" s="202" t="s">
        <v>241</v>
      </c>
      <c r="B33" s="203"/>
      <c r="C33" s="842"/>
      <c r="D33" s="196">
        <f t="shared" si="0"/>
        <v>0</v>
      </c>
    </row>
    <row r="34" spans="1:4" ht="15">
      <c r="A34" s="201" t="s">
        <v>242</v>
      </c>
      <c r="B34" s="203">
        <f>B7</f>
        <v>0</v>
      </c>
      <c r="C34" s="842"/>
      <c r="D34" s="196">
        <f t="shared" si="0"/>
        <v>0</v>
      </c>
    </row>
    <row r="35" spans="1:4" ht="15">
      <c r="A35" s="201" t="s">
        <v>243</v>
      </c>
      <c r="B35" s="203">
        <f>B8</f>
        <v>0</v>
      </c>
      <c r="C35" s="842"/>
      <c r="D35" s="196">
        <f t="shared" si="0"/>
        <v>0</v>
      </c>
    </row>
    <row r="36" spans="1:4" ht="15">
      <c r="A36" s="201" t="s">
        <v>244</v>
      </c>
      <c r="B36" s="203">
        <f>B6</f>
        <v>1</v>
      </c>
      <c r="C36" s="842"/>
      <c r="D36" s="196">
        <f t="shared" si="0"/>
        <v>0</v>
      </c>
    </row>
    <row r="37" spans="1:4" ht="12.75">
      <c r="C37" s="2" t="s">
        <v>9</v>
      </c>
      <c r="D37">
        <f>SUM(D15:D36)</f>
        <v>88.515000000000015</v>
      </c>
    </row>
    <row r="44" spans="1:4">
      <c r="B44" s="199"/>
    </row>
  </sheetData>
  <sheetProtection algorithmName="SHA-512" hashValue="8LGcgslSqpsyZjk0IReGEjf2zRKuHf3uUyBNiMLl3YQlp2dAc1TLbGAA3TLgpJE/NWcWQOOYfT5lQKt16/vOcA==" saltValue="8M1jGL1v4C+fxDuecQnarg==" spinCount="100000" sheet="1" objects="1" scenarios="1"/>
  <mergeCells count="12">
    <mergeCell ref="A1:D1"/>
    <mergeCell ref="C2:D2"/>
    <mergeCell ref="C3:D3"/>
    <mergeCell ref="C4:D4"/>
    <mergeCell ref="C9:D9"/>
    <mergeCell ref="A13:D13"/>
    <mergeCell ref="C5:D5"/>
    <mergeCell ref="C6:D6"/>
    <mergeCell ref="C7:D7"/>
    <mergeCell ref="C8:D8"/>
    <mergeCell ref="C12:D12"/>
    <mergeCell ref="C10:D10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D48"/>
  <sheetViews>
    <sheetView workbookViewId="0">
      <selection activeCell="B31" sqref="B31"/>
    </sheetView>
  </sheetViews>
  <sheetFormatPr defaultRowHeight="11.25"/>
  <cols>
    <col min="1" max="1" width="51.5" customWidth="1"/>
    <col min="2" max="2" width="25.33203125" customWidth="1"/>
    <col min="3" max="3" width="13.1640625" customWidth="1"/>
    <col min="4" max="4" width="13.83203125" customWidth="1"/>
    <col min="13" max="13" width="46" customWidth="1"/>
    <col min="14" max="14" width="32.6640625" customWidth="1"/>
  </cols>
  <sheetData>
    <row r="1" spans="1:4" ht="64.5" customHeight="1" thickBot="1">
      <c r="A1" s="1181" t="s">
        <v>306</v>
      </c>
      <c r="B1" s="1169"/>
      <c r="C1" s="1169"/>
      <c r="D1" s="1169"/>
    </row>
    <row r="2" spans="1:4">
      <c r="A2" s="110" t="s">
        <v>10</v>
      </c>
      <c r="B2" s="834">
        <v>1</v>
      </c>
      <c r="C2" s="1081" t="s">
        <v>125</v>
      </c>
      <c r="D2" s="1056"/>
    </row>
    <row r="3" spans="1:4" ht="12" thickBot="1">
      <c r="A3" s="112" t="s">
        <v>1</v>
      </c>
      <c r="B3" s="835">
        <v>1</v>
      </c>
      <c r="C3" s="1182" t="s">
        <v>30</v>
      </c>
      <c r="D3" s="1183"/>
    </row>
    <row r="4" spans="1:4" ht="22.5">
      <c r="A4" s="200" t="s">
        <v>246</v>
      </c>
      <c r="B4" s="906">
        <v>0</v>
      </c>
      <c r="C4" s="1184" t="s">
        <v>30</v>
      </c>
      <c r="D4" s="1049"/>
    </row>
    <row r="5" spans="1:4">
      <c r="A5" s="200" t="s">
        <v>247</v>
      </c>
      <c r="B5" s="906">
        <v>1</v>
      </c>
      <c r="C5" s="1165" t="s">
        <v>30</v>
      </c>
      <c r="D5" s="1166"/>
    </row>
    <row r="6" spans="1:4">
      <c r="A6" s="200" t="s">
        <v>250</v>
      </c>
      <c r="B6" s="906">
        <v>1</v>
      </c>
      <c r="C6" s="1165" t="s">
        <v>30</v>
      </c>
      <c r="D6" s="1166"/>
    </row>
    <row r="7" spans="1:4">
      <c r="A7" s="200" t="s">
        <v>249</v>
      </c>
      <c r="B7" s="906">
        <v>0</v>
      </c>
      <c r="C7" s="1165" t="s">
        <v>30</v>
      </c>
      <c r="D7" s="1166"/>
    </row>
    <row r="8" spans="1:4">
      <c r="A8" s="200" t="s">
        <v>251</v>
      </c>
      <c r="B8" s="906">
        <v>0</v>
      </c>
      <c r="C8" s="1165" t="s">
        <v>30</v>
      </c>
      <c r="D8" s="1166"/>
    </row>
    <row r="9" spans="1:4">
      <c r="A9" s="111" t="s">
        <v>123</v>
      </c>
      <c r="B9" s="836">
        <f>B4+B5</f>
        <v>1</v>
      </c>
      <c r="C9" s="1083" t="s">
        <v>29</v>
      </c>
      <c r="D9" s="1084"/>
    </row>
    <row r="10" spans="1:4" ht="33" customHeight="1">
      <c r="A10" s="205" t="s">
        <v>303</v>
      </c>
      <c r="B10" s="837">
        <v>1</v>
      </c>
      <c r="C10" s="1230" t="s">
        <v>304</v>
      </c>
      <c r="D10" s="1166"/>
    </row>
    <row r="11" spans="1:4" ht="35.25" customHeight="1">
      <c r="A11" s="205" t="s">
        <v>305</v>
      </c>
      <c r="B11" s="837">
        <v>3</v>
      </c>
      <c r="C11" s="1230" t="s">
        <v>307</v>
      </c>
      <c r="D11" s="1166"/>
    </row>
    <row r="12" spans="1:4">
      <c r="A12" s="205" t="s">
        <v>291</v>
      </c>
      <c r="B12" s="836">
        <v>1</v>
      </c>
      <c r="C12" s="219" t="s">
        <v>255</v>
      </c>
      <c r="D12" s="218" t="s">
        <v>256</v>
      </c>
    </row>
    <row r="13" spans="1:4">
      <c r="A13" s="204" t="s">
        <v>254</v>
      </c>
      <c r="B13" s="836">
        <v>2</v>
      </c>
      <c r="C13" s="219" t="s">
        <v>255</v>
      </c>
      <c r="D13" s="218" t="s">
        <v>256</v>
      </c>
    </row>
    <row r="14" spans="1:4" ht="22.5">
      <c r="A14" s="227" t="s">
        <v>302</v>
      </c>
      <c r="B14" s="836">
        <v>1</v>
      </c>
      <c r="C14" s="219"/>
      <c r="D14" s="218"/>
    </row>
    <row r="15" spans="1:4" ht="12" thickBot="1">
      <c r="A15" s="148" t="s">
        <v>143</v>
      </c>
      <c r="B15" s="909">
        <v>1</v>
      </c>
      <c r="C15" s="1188" t="s">
        <v>30</v>
      </c>
      <c r="D15" s="1189"/>
    </row>
    <row r="16" spans="1:4" ht="12" thickBot="1">
      <c r="A16" s="1185"/>
      <c r="B16" s="1185"/>
      <c r="C16" s="1185"/>
      <c r="D16" s="1185"/>
    </row>
    <row r="17" spans="1:4" ht="12.75">
      <c r="A17" s="98" t="s">
        <v>5</v>
      </c>
      <c r="B17" s="99" t="s">
        <v>0</v>
      </c>
      <c r="C17" s="119" t="s">
        <v>4</v>
      </c>
      <c r="D17" s="220" t="s">
        <v>8</v>
      </c>
    </row>
    <row r="18" spans="1:4" ht="15">
      <c r="A18" s="226" t="s">
        <v>293</v>
      </c>
      <c r="B18" s="224">
        <f>IF(B12=2,(B2-0.14)*B9,(B2-0.1)*B9)</f>
        <v>0.9</v>
      </c>
      <c r="C18" s="854">
        <v>9</v>
      </c>
      <c r="D18" s="217">
        <f t="shared" ref="D18:D40" si="0">C18*B18</f>
        <v>8.1</v>
      </c>
    </row>
    <row r="19" spans="1:4" ht="15">
      <c r="A19" s="226" t="s">
        <v>288</v>
      </c>
      <c r="B19" s="225">
        <f>ROUNDUP(B2*10*B4,0)+EVEN(B2*10*B5)</f>
        <v>10</v>
      </c>
      <c r="C19" s="854"/>
      <c r="D19" s="217">
        <f t="shared" si="0"/>
        <v>0</v>
      </c>
    </row>
    <row r="20" spans="1:4" ht="15">
      <c r="A20" s="226" t="s">
        <v>289</v>
      </c>
      <c r="B20" s="225">
        <f>IF($B$12=2,$B$9,0)</f>
        <v>0</v>
      </c>
      <c r="C20" s="854"/>
      <c r="D20" s="217">
        <f t="shared" si="0"/>
        <v>0</v>
      </c>
    </row>
    <row r="21" spans="1:4" ht="15">
      <c r="A21" s="226" t="s">
        <v>290</v>
      </c>
      <c r="B21" s="225">
        <f>B9</f>
        <v>1</v>
      </c>
      <c r="C21" s="854"/>
      <c r="D21" s="217">
        <f t="shared" si="0"/>
        <v>0</v>
      </c>
    </row>
    <row r="22" spans="1:4" ht="15">
      <c r="A22" s="226" t="s">
        <v>295</v>
      </c>
      <c r="B22" s="225">
        <f>(IF($B$10=1,ROUNDUP($B$2/0.5,0),0))*$B$9</f>
        <v>2</v>
      </c>
      <c r="C22" s="854"/>
      <c r="D22" s="217">
        <f t="shared" si="0"/>
        <v>0</v>
      </c>
    </row>
    <row r="23" spans="1:4" ht="15">
      <c r="A23" s="226" t="s">
        <v>296</v>
      </c>
      <c r="B23" s="225">
        <f>(IF($B$10=2,ROUNDUP($B$2/0.5,0),0))*$B$9</f>
        <v>0</v>
      </c>
      <c r="C23" s="854"/>
      <c r="D23" s="217">
        <f t="shared" si="0"/>
        <v>0</v>
      </c>
    </row>
    <row r="24" spans="1:4" ht="15">
      <c r="A24" s="226" t="s">
        <v>297</v>
      </c>
      <c r="B24" s="225">
        <f>(IF($B$10=3,ROUNDUP($B$2/0.5,0),0))*$B$9</f>
        <v>0</v>
      </c>
      <c r="C24" s="854"/>
      <c r="D24" s="217">
        <f t="shared" si="0"/>
        <v>0</v>
      </c>
    </row>
    <row r="25" spans="1:4" ht="15">
      <c r="A25" s="226" t="s">
        <v>298</v>
      </c>
      <c r="B25" s="225">
        <f>IF($B$10=1,0,((IF($B$11=2,ROUNDUP($B$2/0.5,0),0))*$B$9))</f>
        <v>0</v>
      </c>
      <c r="C25" s="842"/>
      <c r="D25" s="217">
        <f t="shared" si="0"/>
        <v>0</v>
      </c>
    </row>
    <row r="26" spans="1:4" ht="15">
      <c r="A26" s="226" t="s">
        <v>299</v>
      </c>
      <c r="B26" s="225">
        <f>IF($B$10=1,0,((IF($B$11=3,ROUNDUP($B$2/0.5,0),0))*$B$9))</f>
        <v>0</v>
      </c>
      <c r="C26" s="842"/>
      <c r="D26" s="217">
        <f t="shared" si="0"/>
        <v>0</v>
      </c>
    </row>
    <row r="27" spans="1:4" ht="15">
      <c r="A27" s="201" t="s">
        <v>235</v>
      </c>
      <c r="B27" s="203">
        <f>B4*2+4*B5</f>
        <v>4</v>
      </c>
      <c r="C27" s="854"/>
      <c r="D27" s="217">
        <f t="shared" si="0"/>
        <v>0</v>
      </c>
    </row>
    <row r="28" spans="1:4" ht="15">
      <c r="A28" s="226" t="s">
        <v>292</v>
      </c>
      <c r="B28" s="225">
        <f>B4+2*B5</f>
        <v>2</v>
      </c>
      <c r="C28" s="854"/>
      <c r="D28" s="217">
        <f t="shared" si="0"/>
        <v>0</v>
      </c>
    </row>
    <row r="29" spans="1:4" ht="15">
      <c r="A29" s="226" t="s">
        <v>291</v>
      </c>
      <c r="B29" s="225">
        <f>IF($B$12=2,0,$B$9)</f>
        <v>1</v>
      </c>
      <c r="C29" s="854"/>
      <c r="D29" s="217">
        <f t="shared" si="0"/>
        <v>0</v>
      </c>
    </row>
    <row r="30" spans="1:4" ht="15">
      <c r="A30" s="223" t="s">
        <v>239</v>
      </c>
      <c r="B30" s="225">
        <f>IF(B12=1,(($B$2-0.14)*2+0.21)*$B$9,IF(B12=2,(($B$2-0.1)*2+0.21)*$B$9,0))</f>
        <v>1.93</v>
      </c>
      <c r="C30" s="842"/>
      <c r="D30" s="217">
        <f t="shared" si="0"/>
        <v>0</v>
      </c>
    </row>
    <row r="31" spans="1:4" ht="15">
      <c r="A31" s="223" t="s">
        <v>301</v>
      </c>
      <c r="B31" s="225">
        <f>B5</f>
        <v>1</v>
      </c>
      <c r="C31" s="855"/>
      <c r="D31" s="217">
        <f t="shared" si="0"/>
        <v>0</v>
      </c>
    </row>
    <row r="32" spans="1:4" ht="15">
      <c r="A32" s="226" t="s">
        <v>313</v>
      </c>
      <c r="B32" s="225">
        <f>B9</f>
        <v>1</v>
      </c>
      <c r="C32" s="855"/>
      <c r="D32" s="217">
        <f t="shared" si="0"/>
        <v>0</v>
      </c>
    </row>
    <row r="33" spans="1:4" ht="15">
      <c r="A33" s="226" t="s">
        <v>294</v>
      </c>
      <c r="B33" s="225">
        <f>B14</f>
        <v>1</v>
      </c>
      <c r="C33" s="855"/>
      <c r="D33" s="217">
        <f t="shared" si="0"/>
        <v>0</v>
      </c>
    </row>
    <row r="34" spans="1:4" ht="15">
      <c r="A34" s="226" t="s">
        <v>300</v>
      </c>
      <c r="B34" s="225">
        <f>(IF(B13=1,B9,0))</f>
        <v>0</v>
      </c>
      <c r="C34" s="842"/>
      <c r="D34" s="217">
        <f t="shared" si="0"/>
        <v>0</v>
      </c>
    </row>
    <row r="35" spans="1:4" ht="15">
      <c r="A35" s="226" t="s">
        <v>309</v>
      </c>
      <c r="B35" s="225">
        <f>B7</f>
        <v>0</v>
      </c>
      <c r="C35" s="842"/>
      <c r="D35" s="217">
        <f t="shared" si="0"/>
        <v>0</v>
      </c>
    </row>
    <row r="36" spans="1:4" ht="15">
      <c r="A36" s="223" t="s">
        <v>310</v>
      </c>
      <c r="B36" s="225">
        <f>B15</f>
        <v>1</v>
      </c>
      <c r="C36" s="855"/>
      <c r="D36" s="217">
        <f t="shared" si="0"/>
        <v>0</v>
      </c>
    </row>
    <row r="37" spans="1:4" ht="15">
      <c r="A37" s="202" t="s">
        <v>241</v>
      </c>
      <c r="B37" s="203"/>
      <c r="C37" s="842"/>
      <c r="D37" s="217">
        <f t="shared" si="0"/>
        <v>0</v>
      </c>
    </row>
    <row r="38" spans="1:4" ht="15">
      <c r="A38" s="201" t="s">
        <v>311</v>
      </c>
      <c r="B38" s="203">
        <f>B7</f>
        <v>0</v>
      </c>
      <c r="C38" s="842"/>
      <c r="D38" s="217">
        <f t="shared" si="0"/>
        <v>0</v>
      </c>
    </row>
    <row r="39" spans="1:4" ht="15">
      <c r="A39" s="201" t="s">
        <v>308</v>
      </c>
      <c r="B39" s="203">
        <f>B8</f>
        <v>0</v>
      </c>
      <c r="C39" s="842"/>
      <c r="D39" s="217">
        <f t="shared" si="0"/>
        <v>0</v>
      </c>
    </row>
    <row r="40" spans="1:4" ht="15">
      <c r="A40" s="201" t="s">
        <v>312</v>
      </c>
      <c r="B40" s="203">
        <f>B6</f>
        <v>1</v>
      </c>
      <c r="C40" s="842"/>
      <c r="D40" s="217">
        <f t="shared" si="0"/>
        <v>0</v>
      </c>
    </row>
    <row r="41" spans="1:4" ht="12.75">
      <c r="C41" s="2" t="s">
        <v>9</v>
      </c>
      <c r="D41">
        <f>SUM(D18:D40)</f>
        <v>8.1</v>
      </c>
    </row>
    <row r="48" spans="1:4">
      <c r="B48" s="199"/>
    </row>
  </sheetData>
  <sheetProtection algorithmName="SHA-512" hashValue="KV5ntp9WCAYe6SIxhVD4sUJw9QRDdKmpa9ibL+3/gLjX3zqZXzj1/mSnk8eED9pXi4PDQ+FTiwZqV8Yb/ClH6g==" saltValue="cmzBzjSoR+/jPF7SRGkbPg==" spinCount="100000" sheet="1" objects="1" scenarios="1"/>
  <mergeCells count="13">
    <mergeCell ref="A16:D16"/>
    <mergeCell ref="C10:D10"/>
    <mergeCell ref="A1:D1"/>
    <mergeCell ref="C2:D2"/>
    <mergeCell ref="C3:D3"/>
    <mergeCell ref="C4:D4"/>
    <mergeCell ref="C5:D5"/>
    <mergeCell ref="C6:D6"/>
    <mergeCell ref="C7:D7"/>
    <mergeCell ref="C8:D8"/>
    <mergeCell ref="C9:D9"/>
    <mergeCell ref="C11:D11"/>
    <mergeCell ref="C15:D1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D36"/>
  <sheetViews>
    <sheetView workbookViewId="0">
      <selection activeCell="C35" sqref="C35"/>
    </sheetView>
  </sheetViews>
  <sheetFormatPr defaultRowHeight="11.25"/>
  <cols>
    <col min="1" max="1" width="52" customWidth="1"/>
    <col min="2" max="2" width="35.6640625" customWidth="1"/>
    <col min="3" max="3" width="21.83203125" customWidth="1"/>
    <col min="4" max="4" width="20.6640625" customWidth="1"/>
  </cols>
  <sheetData>
    <row r="1" spans="1:4" ht="54" customHeight="1" thickBot="1">
      <c r="A1" s="1181" t="s">
        <v>259</v>
      </c>
      <c r="B1" s="1169"/>
      <c r="C1" s="1169"/>
      <c r="D1" s="1169"/>
    </row>
    <row r="2" spans="1:4">
      <c r="A2" s="110" t="s">
        <v>10</v>
      </c>
      <c r="B2" s="834">
        <v>2</v>
      </c>
      <c r="C2" s="1081" t="s">
        <v>125</v>
      </c>
      <c r="D2" s="1056"/>
    </row>
    <row r="3" spans="1:4" ht="12" thickBot="1">
      <c r="A3" s="112" t="s">
        <v>1</v>
      </c>
      <c r="B3" s="835">
        <v>1</v>
      </c>
      <c r="C3" s="1182" t="s">
        <v>30</v>
      </c>
      <c r="D3" s="1183"/>
    </row>
    <row r="4" spans="1:4">
      <c r="A4" s="111" t="s">
        <v>123</v>
      </c>
      <c r="B4" s="836">
        <v>3</v>
      </c>
      <c r="C4" s="1083" t="s">
        <v>30</v>
      </c>
      <c r="D4" s="1084"/>
    </row>
    <row r="5" spans="1:4" ht="26.25" customHeight="1">
      <c r="A5" s="205" t="s">
        <v>257</v>
      </c>
      <c r="B5" s="837">
        <v>1</v>
      </c>
      <c r="C5" s="1230" t="s">
        <v>260</v>
      </c>
      <c r="D5" s="1166"/>
    </row>
    <row r="6" spans="1:4">
      <c r="A6" s="205" t="s">
        <v>830</v>
      </c>
      <c r="B6" s="837">
        <v>1</v>
      </c>
      <c r="C6" s="211" t="s">
        <v>261</v>
      </c>
      <c r="D6" s="209" t="s">
        <v>262</v>
      </c>
    </row>
    <row r="7" spans="1:4">
      <c r="A7" s="205" t="s">
        <v>283</v>
      </c>
      <c r="B7" s="837">
        <v>1</v>
      </c>
      <c r="C7" s="216" t="s">
        <v>284</v>
      </c>
      <c r="D7" s="214" t="s">
        <v>285</v>
      </c>
    </row>
    <row r="8" spans="1:4">
      <c r="A8" s="205" t="s">
        <v>124</v>
      </c>
      <c r="B8" s="837">
        <v>0</v>
      </c>
      <c r="C8" s="215" t="s">
        <v>255</v>
      </c>
      <c r="D8" s="214" t="s">
        <v>287</v>
      </c>
    </row>
    <row r="9" spans="1:4">
      <c r="A9" s="204" t="s">
        <v>275</v>
      </c>
      <c r="B9" s="836">
        <v>3</v>
      </c>
      <c r="C9" s="1165" t="s">
        <v>30</v>
      </c>
      <c r="D9" s="1124"/>
    </row>
    <row r="10" spans="1:4">
      <c r="A10" s="204" t="s">
        <v>277</v>
      </c>
      <c r="B10" s="836">
        <v>2</v>
      </c>
      <c r="C10" s="1165" t="s">
        <v>30</v>
      </c>
      <c r="D10" s="1124"/>
    </row>
    <row r="11" spans="1:4">
      <c r="A11" s="212" t="s">
        <v>274</v>
      </c>
      <c r="B11" s="836">
        <v>1</v>
      </c>
      <c r="C11" s="1165" t="s">
        <v>30</v>
      </c>
      <c r="D11" s="1124"/>
    </row>
    <row r="12" spans="1:4" ht="12" thickBot="1">
      <c r="A12" s="1185"/>
      <c r="B12" s="1185"/>
      <c r="C12" s="1185"/>
      <c r="D12" s="1185"/>
    </row>
    <row r="13" spans="1:4" ht="12.75">
      <c r="A13" s="98" t="s">
        <v>5</v>
      </c>
      <c r="B13" s="99" t="s">
        <v>0</v>
      </c>
      <c r="C13" s="119" t="s">
        <v>4</v>
      </c>
      <c r="D13" s="210" t="s">
        <v>8</v>
      </c>
    </row>
    <row r="14" spans="1:4" ht="15" customHeight="1">
      <c r="A14" s="208" t="s">
        <v>263</v>
      </c>
      <c r="B14" s="203">
        <f>(B2-0.004)*B4</f>
        <v>5.9879999999999995</v>
      </c>
      <c r="C14" s="854"/>
      <c r="D14" s="208">
        <f t="shared" ref="D14:D35" si="0">C14*B14</f>
        <v>0</v>
      </c>
    </row>
    <row r="15" spans="1:4" ht="15">
      <c r="A15" s="228" t="s">
        <v>314</v>
      </c>
      <c r="B15" s="203">
        <f>B4*2</f>
        <v>6</v>
      </c>
      <c r="C15" s="854"/>
      <c r="D15" s="208">
        <f t="shared" si="0"/>
        <v>0</v>
      </c>
    </row>
    <row r="16" spans="1:4" ht="15">
      <c r="A16" s="208" t="s">
        <v>264</v>
      </c>
      <c r="B16" s="203">
        <f>ROUNDUP(B2/0.4,0)*B4</f>
        <v>15</v>
      </c>
      <c r="C16" s="854"/>
      <c r="D16" s="208">
        <f t="shared" si="0"/>
        <v>0</v>
      </c>
    </row>
    <row r="17" spans="1:4" ht="15">
      <c r="A17" s="208" t="s">
        <v>265</v>
      </c>
      <c r="B17" s="203">
        <f>B16</f>
        <v>15</v>
      </c>
      <c r="C17" s="854"/>
      <c r="D17" s="208">
        <f t="shared" si="0"/>
        <v>0</v>
      </c>
    </row>
    <row r="18" spans="1:4" ht="15">
      <c r="A18" s="208" t="s">
        <v>266</v>
      </c>
      <c r="B18" s="203">
        <f>(IF(B5=1,ROUNDUP((B2-0.03)/0.5,0),0))*B4</f>
        <v>12</v>
      </c>
      <c r="C18" s="854"/>
      <c r="D18" s="208">
        <f t="shared" si="0"/>
        <v>0</v>
      </c>
    </row>
    <row r="19" spans="1:4" ht="15">
      <c r="A19" s="208" t="s">
        <v>267</v>
      </c>
      <c r="B19" s="203">
        <f>(IF(B5=2,ROUNDUP((B2-0.03)/0.5,0),0))*B4</f>
        <v>0</v>
      </c>
      <c r="C19" s="842"/>
      <c r="D19" s="208">
        <f t="shared" si="0"/>
        <v>0</v>
      </c>
    </row>
    <row r="20" spans="1:4" ht="15">
      <c r="A20" s="208" t="s">
        <v>831</v>
      </c>
      <c r="B20" s="203">
        <f>(IF(B6=1,ROUNDUP(B3/0.3,0),0))*(B2-0.01)*B4</f>
        <v>23.88</v>
      </c>
      <c r="C20" s="842"/>
      <c r="D20" s="208">
        <f t="shared" si="0"/>
        <v>0</v>
      </c>
    </row>
    <row r="21" spans="1:4" ht="15">
      <c r="A21" s="208" t="s">
        <v>832</v>
      </c>
      <c r="B21" s="203">
        <f>(IF(B6=2,ROUNDUP(B3/0.3,0),0))*(B2-0.01)*B4</f>
        <v>0</v>
      </c>
      <c r="C21" s="854"/>
      <c r="D21" s="208">
        <f t="shared" si="0"/>
        <v>0</v>
      </c>
    </row>
    <row r="22" spans="1:4" ht="15">
      <c r="A22" s="208" t="s">
        <v>268</v>
      </c>
      <c r="B22" s="203">
        <f>(B2-0.026)*B4</f>
        <v>5.9219999999999997</v>
      </c>
      <c r="C22" s="854"/>
      <c r="D22" s="208">
        <f t="shared" si="0"/>
        <v>0</v>
      </c>
    </row>
    <row r="23" spans="1:4" ht="15">
      <c r="A23" s="213" t="s">
        <v>286</v>
      </c>
      <c r="B23" s="203">
        <f>(IF(B7=2,(B2-0.01)*B4,0))</f>
        <v>0</v>
      </c>
      <c r="C23" s="854"/>
      <c r="D23" s="213">
        <f t="shared" si="0"/>
        <v>0</v>
      </c>
    </row>
    <row r="24" spans="1:4" ht="15">
      <c r="A24" s="213" t="s">
        <v>269</v>
      </c>
      <c r="B24" s="203">
        <f>(IF(B7=1,(B2-0.01)*B4,0))</f>
        <v>5.97</v>
      </c>
      <c r="C24" s="855"/>
      <c r="D24" s="213">
        <f t="shared" si="0"/>
        <v>0</v>
      </c>
    </row>
    <row r="25" spans="1:4" ht="15">
      <c r="A25" s="208" t="s">
        <v>270</v>
      </c>
      <c r="B25" s="203">
        <f>B4*2</f>
        <v>6</v>
      </c>
      <c r="C25" s="842"/>
      <c r="D25" s="208">
        <f t="shared" si="0"/>
        <v>0</v>
      </c>
    </row>
    <row r="26" spans="1:4" ht="15">
      <c r="A26" s="208" t="s">
        <v>271</v>
      </c>
      <c r="B26" s="203">
        <f>B16*(B3+0.2)</f>
        <v>18</v>
      </c>
      <c r="C26" s="842"/>
      <c r="D26" s="208">
        <f t="shared" si="0"/>
        <v>0</v>
      </c>
    </row>
    <row r="27" spans="1:4" ht="15">
      <c r="A27" s="208" t="s">
        <v>272</v>
      </c>
      <c r="B27" s="203">
        <f>2*B4</f>
        <v>6</v>
      </c>
      <c r="C27" s="855"/>
      <c r="D27" s="208">
        <f t="shared" si="0"/>
        <v>0</v>
      </c>
    </row>
    <row r="28" spans="1:4" ht="15">
      <c r="A28" s="208" t="s">
        <v>273</v>
      </c>
      <c r="B28" s="203">
        <f>2*B4</f>
        <v>6</v>
      </c>
      <c r="C28" s="842"/>
      <c r="D28" s="208">
        <f t="shared" si="0"/>
        <v>0</v>
      </c>
    </row>
    <row r="29" spans="1:4" ht="15">
      <c r="A29" s="208" t="s">
        <v>276</v>
      </c>
      <c r="B29" s="203">
        <f>B4</f>
        <v>3</v>
      </c>
      <c r="C29" s="842"/>
      <c r="D29" s="208">
        <f t="shared" si="0"/>
        <v>0</v>
      </c>
    </row>
    <row r="30" spans="1:4" ht="15">
      <c r="A30" s="208" t="s">
        <v>145</v>
      </c>
      <c r="B30" s="203">
        <f>B10</f>
        <v>2</v>
      </c>
      <c r="C30" s="842"/>
      <c r="D30" s="208">
        <f t="shared" si="0"/>
        <v>0</v>
      </c>
    </row>
    <row r="31" spans="1:4" ht="15">
      <c r="A31" s="208" t="s">
        <v>278</v>
      </c>
      <c r="B31" s="203">
        <f>B9</f>
        <v>3</v>
      </c>
      <c r="C31" s="842"/>
      <c r="D31" s="208">
        <f t="shared" si="0"/>
        <v>0</v>
      </c>
    </row>
    <row r="32" spans="1:4" ht="15">
      <c r="A32" s="221" t="s">
        <v>124</v>
      </c>
      <c r="B32" s="222">
        <f>IF(B8=1,(B2)*(B4),0)</f>
        <v>0</v>
      </c>
      <c r="C32" s="855"/>
      <c r="D32" s="213">
        <f t="shared" si="0"/>
        <v>0</v>
      </c>
    </row>
    <row r="33" spans="1:4" ht="15">
      <c r="A33" s="208" t="s">
        <v>279</v>
      </c>
      <c r="B33" s="203">
        <f>B11</f>
        <v>1</v>
      </c>
      <c r="C33" s="842"/>
      <c r="D33" s="208">
        <f t="shared" si="0"/>
        <v>0</v>
      </c>
    </row>
    <row r="34" spans="1:4" ht="15">
      <c r="A34" s="1231" t="s">
        <v>241</v>
      </c>
      <c r="B34" s="1232"/>
      <c r="C34" s="1232"/>
      <c r="D34" s="1233"/>
    </row>
    <row r="35" spans="1:4" ht="15">
      <c r="A35" s="201" t="s">
        <v>233</v>
      </c>
      <c r="B35" s="203">
        <f>B4</f>
        <v>3</v>
      </c>
      <c r="C35" s="842"/>
      <c r="D35" s="208">
        <f t="shared" si="0"/>
        <v>0</v>
      </c>
    </row>
    <row r="36" spans="1:4" ht="12.75">
      <c r="C36" s="2" t="s">
        <v>9</v>
      </c>
      <c r="D36">
        <f>SUM(D14:D35)</f>
        <v>0</v>
      </c>
    </row>
  </sheetData>
  <sheetProtection algorithmName="SHA-512" hashValue="pHWTOnvjoAspJ+JdUAfSd8dH3Mv4dVxNpGfIsHnpit9bfQjlblFbOk8FHyLV12n0H5MdVYNZekNknThLoCpRXA==" saltValue="mUdr4qGaJAiMx8BY83Ttag==" spinCount="100000" sheet="1" objects="1" scenarios="1"/>
  <mergeCells count="10">
    <mergeCell ref="A34:D34"/>
    <mergeCell ref="A1:D1"/>
    <mergeCell ref="C2:D2"/>
    <mergeCell ref="C3:D3"/>
    <mergeCell ref="C4:D4"/>
    <mergeCell ref="C5:D5"/>
    <mergeCell ref="A12:D12"/>
    <mergeCell ref="C9:D9"/>
    <mergeCell ref="C10:D10"/>
    <mergeCell ref="C11:D1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19" workbookViewId="0">
      <selection activeCell="B22" sqref="B22:B33"/>
    </sheetView>
  </sheetViews>
  <sheetFormatPr defaultRowHeight="11.25"/>
  <cols>
    <col min="1" max="1" width="48.33203125" customWidth="1"/>
    <col min="2" max="2" width="11.33203125" customWidth="1"/>
    <col min="3" max="3" width="15" customWidth="1"/>
    <col min="4" max="4" width="16.6640625" customWidth="1"/>
  </cols>
  <sheetData>
    <row r="1" spans="1:4" ht="47.25" customHeight="1" thickBot="1">
      <c r="A1" s="1181" t="s">
        <v>777</v>
      </c>
      <c r="B1" s="1169"/>
      <c r="C1" s="1169"/>
      <c r="D1" s="1169"/>
    </row>
    <row r="2" spans="1:4">
      <c r="A2" s="110" t="s">
        <v>10</v>
      </c>
      <c r="B2" s="834">
        <v>1</v>
      </c>
      <c r="C2" s="1081" t="s">
        <v>125</v>
      </c>
      <c r="D2" s="1056"/>
    </row>
    <row r="3" spans="1:4" ht="12" thickBot="1">
      <c r="A3" s="112" t="s">
        <v>1</v>
      </c>
      <c r="B3" s="835">
        <v>1</v>
      </c>
      <c r="C3" s="1182" t="s">
        <v>30</v>
      </c>
      <c r="D3" s="1183"/>
    </row>
    <row r="4" spans="1:4">
      <c r="A4" s="111" t="s">
        <v>123</v>
      </c>
      <c r="B4" s="836">
        <v>1</v>
      </c>
      <c r="C4" s="1083" t="s">
        <v>30</v>
      </c>
      <c r="D4" s="1084"/>
    </row>
    <row r="5" spans="1:4">
      <c r="A5" s="820" t="s">
        <v>830</v>
      </c>
      <c r="B5" s="837">
        <v>1</v>
      </c>
      <c r="C5" s="788" t="s">
        <v>261</v>
      </c>
      <c r="D5" s="780" t="s">
        <v>262</v>
      </c>
    </row>
    <row r="6" spans="1:4">
      <c r="A6" s="820" t="s">
        <v>283</v>
      </c>
      <c r="B6" s="837">
        <v>0</v>
      </c>
      <c r="C6" s="788" t="s">
        <v>284</v>
      </c>
      <c r="D6" s="780" t="s">
        <v>285</v>
      </c>
    </row>
    <row r="7" spans="1:4">
      <c r="A7" s="820" t="s">
        <v>124</v>
      </c>
      <c r="B7" s="837">
        <v>0</v>
      </c>
      <c r="C7" s="784" t="s">
        <v>255</v>
      </c>
      <c r="D7" s="780" t="s">
        <v>287</v>
      </c>
    </row>
    <row r="8" spans="1:4" ht="33.75" customHeight="1">
      <c r="A8" s="820" t="s">
        <v>589</v>
      </c>
      <c r="B8" s="837">
        <v>0</v>
      </c>
      <c r="C8" s="1230" t="s">
        <v>791</v>
      </c>
      <c r="D8" s="1234"/>
    </row>
    <row r="9" spans="1:4">
      <c r="A9" s="821" t="s">
        <v>277</v>
      </c>
      <c r="B9" s="836">
        <v>0</v>
      </c>
      <c r="C9" s="1165" t="s">
        <v>30</v>
      </c>
      <c r="D9" s="1166"/>
    </row>
    <row r="10" spans="1:4" ht="12" thickBot="1">
      <c r="A10" s="112" t="s">
        <v>274</v>
      </c>
      <c r="B10" s="835">
        <v>0</v>
      </c>
      <c r="C10" s="1163" t="s">
        <v>30</v>
      </c>
      <c r="D10" s="1164"/>
    </row>
    <row r="11" spans="1:4" ht="12" thickBot="1">
      <c r="A11" s="1185"/>
      <c r="B11" s="1185"/>
      <c r="C11" s="1185"/>
      <c r="D11" s="1185"/>
    </row>
    <row r="12" spans="1:4" ht="12.75">
      <c r="A12" s="98" t="s">
        <v>5</v>
      </c>
      <c r="B12" s="99" t="s">
        <v>0</v>
      </c>
      <c r="C12" s="119" t="s">
        <v>4</v>
      </c>
      <c r="D12" s="787" t="s">
        <v>8</v>
      </c>
    </row>
    <row r="13" spans="1:4" ht="15">
      <c r="A13" s="781" t="s">
        <v>778</v>
      </c>
      <c r="B13" s="203">
        <f>(B2-0.032)*B4</f>
        <v>0.96799999999999997</v>
      </c>
      <c r="C13" s="838">
        <v>1</v>
      </c>
      <c r="D13" s="781">
        <f t="shared" ref="D13:D41" si="0">C13*B13</f>
        <v>0.96799999999999997</v>
      </c>
    </row>
    <row r="14" spans="1:4" ht="15">
      <c r="A14" s="781" t="s">
        <v>780</v>
      </c>
      <c r="B14" s="203">
        <f>ROUNDUP((((B2-0.15)/0.4)+2)*B4,0)</f>
        <v>5</v>
      </c>
      <c r="C14" s="838"/>
      <c r="D14" s="781">
        <f t="shared" si="0"/>
        <v>0</v>
      </c>
    </row>
    <row r="15" spans="1:4" ht="15">
      <c r="A15" s="781" t="s">
        <v>781</v>
      </c>
      <c r="B15" s="203">
        <f>B4*2</f>
        <v>2</v>
      </c>
      <c r="C15" s="838"/>
      <c r="D15" s="781">
        <f t="shared" si="0"/>
        <v>0</v>
      </c>
    </row>
    <row r="16" spans="1:4" ht="15">
      <c r="A16" s="781" t="s">
        <v>782</v>
      </c>
      <c r="B16" s="203">
        <f>B4</f>
        <v>1</v>
      </c>
      <c r="C16" s="838"/>
      <c r="D16" s="781">
        <f t="shared" si="0"/>
        <v>0</v>
      </c>
    </row>
    <row r="17" spans="1:4" ht="15">
      <c r="A17" s="781" t="s">
        <v>141</v>
      </c>
      <c r="B17" s="203">
        <f>B4</f>
        <v>1</v>
      </c>
      <c r="C17" s="838"/>
      <c r="D17" s="781">
        <f t="shared" si="0"/>
        <v>0</v>
      </c>
    </row>
    <row r="18" spans="1:4" ht="15">
      <c r="A18" s="781" t="s">
        <v>142</v>
      </c>
      <c r="B18" s="203">
        <f>B4</f>
        <v>1</v>
      </c>
      <c r="C18" s="838"/>
      <c r="D18" s="781">
        <f t="shared" si="0"/>
        <v>0</v>
      </c>
    </row>
    <row r="19" spans="1:4" ht="15">
      <c r="A19" s="781" t="s">
        <v>783</v>
      </c>
      <c r="B19" s="203">
        <f>ROUNDUP(((B2-0.15)/0.4)*B4,0)</f>
        <v>3</v>
      </c>
      <c r="C19" s="838"/>
      <c r="D19" s="781">
        <f t="shared" si="0"/>
        <v>0</v>
      </c>
    </row>
    <row r="20" spans="1:4" ht="15">
      <c r="A20" s="781" t="s">
        <v>784</v>
      </c>
      <c r="B20" s="203">
        <f>ROUNDUP(B2/0.4,0)*B4</f>
        <v>3</v>
      </c>
      <c r="C20" s="838"/>
      <c r="D20" s="781">
        <f t="shared" si="0"/>
        <v>0</v>
      </c>
    </row>
    <row r="21" spans="1:4" ht="15">
      <c r="A21" s="781" t="s">
        <v>785</v>
      </c>
      <c r="B21" s="203">
        <f>B4</f>
        <v>1</v>
      </c>
      <c r="C21" s="838"/>
      <c r="D21" s="781">
        <f t="shared" si="0"/>
        <v>0</v>
      </c>
    </row>
    <row r="22" spans="1:4" ht="15">
      <c r="A22" s="781" t="s">
        <v>265</v>
      </c>
      <c r="B22" s="203">
        <f>B20</f>
        <v>3</v>
      </c>
      <c r="C22" s="838"/>
      <c r="D22" s="781">
        <f t="shared" si="0"/>
        <v>0</v>
      </c>
    </row>
    <row r="23" spans="1:4" ht="15">
      <c r="A23" s="781" t="s">
        <v>786</v>
      </c>
      <c r="B23" s="203">
        <f>ROUNDUP((B2-0.03)/0.5,0)*B4</f>
        <v>2</v>
      </c>
      <c r="C23" s="838"/>
      <c r="D23" s="781">
        <f t="shared" si="0"/>
        <v>0</v>
      </c>
    </row>
    <row r="24" spans="1:4" ht="15">
      <c r="A24" s="781" t="s">
        <v>787</v>
      </c>
      <c r="B24" s="203">
        <f>ROUNDUP(B2/0.4,0)*B4</f>
        <v>3</v>
      </c>
      <c r="C24" s="839"/>
      <c r="D24" s="781">
        <f t="shared" si="0"/>
        <v>0</v>
      </c>
    </row>
    <row r="25" spans="1:4" ht="15">
      <c r="A25" s="781" t="s">
        <v>833</v>
      </c>
      <c r="B25" s="203">
        <f>(IF(B5=1,ROUNDUP(B3/0.3,0),0))*(B2-0.01)*B4</f>
        <v>3.96</v>
      </c>
      <c r="C25" s="839"/>
      <c r="D25" s="781">
        <f t="shared" si="0"/>
        <v>0</v>
      </c>
    </row>
    <row r="26" spans="1:4" ht="15">
      <c r="A26" s="781" t="s">
        <v>832</v>
      </c>
      <c r="B26" s="203">
        <f>(IF(B5=2,ROUNDUP(B3/0.3,0),0))*(B2-0.01)*B4</f>
        <v>0</v>
      </c>
      <c r="C26" s="838"/>
      <c r="D26" s="781">
        <f t="shared" si="0"/>
        <v>0</v>
      </c>
    </row>
    <row r="27" spans="1:4" ht="15">
      <c r="A27" s="781" t="s">
        <v>779</v>
      </c>
      <c r="B27" s="203">
        <f>(B2-0.08)*B4</f>
        <v>0.92</v>
      </c>
      <c r="C27" s="838"/>
      <c r="D27" s="781">
        <f t="shared" si="0"/>
        <v>0</v>
      </c>
    </row>
    <row r="28" spans="1:4" ht="15">
      <c r="A28" s="781" t="s">
        <v>286</v>
      </c>
      <c r="B28" s="203">
        <f>(IF(B6=2,(B2-0.01)*B4,0))</f>
        <v>0</v>
      </c>
      <c r="C28" s="838"/>
      <c r="D28" s="781">
        <f t="shared" si="0"/>
        <v>0</v>
      </c>
    </row>
    <row r="29" spans="1:4" ht="15">
      <c r="A29" s="781" t="s">
        <v>269</v>
      </c>
      <c r="B29" s="203">
        <f>(IF(B6=1,(B2-0.01)*B4,0))</f>
        <v>0</v>
      </c>
      <c r="C29" s="840"/>
      <c r="D29" s="781">
        <f t="shared" si="0"/>
        <v>0</v>
      </c>
    </row>
    <row r="30" spans="1:4" ht="15">
      <c r="A30" s="781" t="s">
        <v>789</v>
      </c>
      <c r="B30" s="203">
        <f>B4*4</f>
        <v>4</v>
      </c>
      <c r="C30" s="839"/>
      <c r="D30" s="781">
        <f t="shared" si="0"/>
        <v>0</v>
      </c>
    </row>
    <row r="31" spans="1:4" ht="15">
      <c r="A31" s="781" t="s">
        <v>788</v>
      </c>
      <c r="B31" s="203">
        <f>B20*(B3+0.2)</f>
        <v>3.5999999999999996</v>
      </c>
      <c r="C31" s="839"/>
      <c r="D31" s="781">
        <f t="shared" si="0"/>
        <v>0</v>
      </c>
    </row>
    <row r="32" spans="1:4" ht="15">
      <c r="A32" s="781" t="s">
        <v>790</v>
      </c>
      <c r="B32" s="203">
        <f>ROUNDUP((((B2-0.15)/0.4)+2)*B4*2,0)</f>
        <v>9</v>
      </c>
      <c r="C32" s="840"/>
      <c r="D32" s="781">
        <f t="shared" si="0"/>
        <v>0</v>
      </c>
    </row>
    <row r="33" spans="1:4" ht="15">
      <c r="A33" s="781" t="s">
        <v>145</v>
      </c>
      <c r="B33" s="222">
        <f>B9*B4</f>
        <v>0</v>
      </c>
      <c r="C33" s="840"/>
      <c r="D33" s="781">
        <f t="shared" si="0"/>
        <v>0</v>
      </c>
    </row>
    <row r="34" spans="1:4" ht="15">
      <c r="A34" s="23" t="s">
        <v>689</v>
      </c>
      <c r="B34" s="222">
        <f>B10*B4</f>
        <v>0</v>
      </c>
      <c r="C34" s="840"/>
      <c r="D34" s="781">
        <f t="shared" si="0"/>
        <v>0</v>
      </c>
    </row>
    <row r="35" spans="1:4" ht="15">
      <c r="A35" s="221" t="s">
        <v>124</v>
      </c>
      <c r="B35" s="222">
        <f>IF(B7=1,B2*B4,0)</f>
        <v>0</v>
      </c>
      <c r="C35" s="840"/>
      <c r="D35" s="781">
        <f t="shared" si="0"/>
        <v>0</v>
      </c>
    </row>
    <row r="36" spans="1:4" ht="15">
      <c r="A36" s="1231" t="s">
        <v>241</v>
      </c>
      <c r="B36" s="1232"/>
      <c r="C36" s="1232"/>
      <c r="D36" s="1233"/>
    </row>
    <row r="37" spans="1:4" ht="15">
      <c r="A37" s="419" t="s">
        <v>489</v>
      </c>
      <c r="B37" s="841">
        <f>IF(B8=1,B4,0)</f>
        <v>0</v>
      </c>
      <c r="C37" s="842"/>
      <c r="D37" s="781">
        <f t="shared" si="0"/>
        <v>0</v>
      </c>
    </row>
    <row r="38" spans="1:4" ht="15">
      <c r="A38" s="421" t="s">
        <v>486</v>
      </c>
      <c r="B38" s="841">
        <f>IF(B8=2,B4,0)</f>
        <v>0</v>
      </c>
      <c r="C38" s="842"/>
      <c r="D38" s="781">
        <f t="shared" si="0"/>
        <v>0</v>
      </c>
    </row>
    <row r="39" spans="1:4" ht="15">
      <c r="A39" s="421" t="s">
        <v>487</v>
      </c>
      <c r="B39" s="841">
        <f>IF(B8=3,B4,0)</f>
        <v>0</v>
      </c>
      <c r="C39" s="842"/>
      <c r="D39" s="781">
        <f t="shared" si="0"/>
        <v>0</v>
      </c>
    </row>
    <row r="40" spans="1:4" ht="15">
      <c r="A40" s="421" t="s">
        <v>488</v>
      </c>
      <c r="B40" s="841">
        <f>IF(B8=4,B4,0)</f>
        <v>0</v>
      </c>
      <c r="C40" s="842"/>
      <c r="D40" s="781">
        <f t="shared" si="0"/>
        <v>0</v>
      </c>
    </row>
    <row r="41" spans="1:4" ht="15">
      <c r="A41" s="421" t="s">
        <v>494</v>
      </c>
      <c r="B41" s="841">
        <f>IF(B8=5,B4,0)</f>
        <v>0</v>
      </c>
      <c r="C41" s="842"/>
      <c r="D41" s="781">
        <f t="shared" si="0"/>
        <v>0</v>
      </c>
    </row>
  </sheetData>
  <sheetProtection algorithmName="SHA-512" hashValue="6jMj7KH0gp1CwQuP6SasqICNnVJFdeVhBWK/e7/V4bvsn9Tv35J6+RO5fngwX4Nz87R8BetXutEP8fEnNk/NmQ==" saltValue="9fB0RPV+Lc1DgV9Ynn8zmA==" spinCount="100000" sheet="1" objects="1" scenarios="1"/>
  <mergeCells count="9">
    <mergeCell ref="C9:D9"/>
    <mergeCell ref="C10:D10"/>
    <mergeCell ref="A11:D11"/>
    <mergeCell ref="A36:D36"/>
    <mergeCell ref="A1:D1"/>
    <mergeCell ref="C2:D2"/>
    <mergeCell ref="C3:D3"/>
    <mergeCell ref="C4:D4"/>
    <mergeCell ref="C8:D8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:P120"/>
  <sheetViews>
    <sheetView zoomScaleNormal="100" workbookViewId="0">
      <pane ySplit="29" topLeftCell="A33" activePane="bottomLeft" state="frozen"/>
      <selection pane="bottomLeft" activeCell="E41" sqref="E41"/>
    </sheetView>
  </sheetViews>
  <sheetFormatPr defaultRowHeight="11.25"/>
  <cols>
    <col min="2" max="2" width="65.6640625" customWidth="1"/>
    <col min="3" max="3" width="11.1640625" customWidth="1"/>
    <col min="4" max="4" width="14.83203125" customWidth="1"/>
    <col min="5" max="5" width="14.1640625" customWidth="1"/>
    <col min="6" max="6" width="29.1640625" customWidth="1"/>
    <col min="7" max="7" width="6.33203125" customWidth="1"/>
    <col min="8" max="8" width="53" customWidth="1"/>
    <col min="9" max="9" width="4.6640625" customWidth="1"/>
  </cols>
  <sheetData>
    <row r="1" spans="1:16" ht="54.75" customHeight="1" thickBot="1">
      <c r="A1" s="408"/>
      <c r="B1" s="1236"/>
      <c r="C1" s="1237"/>
      <c r="D1" s="1237"/>
      <c r="E1" s="1237"/>
      <c r="F1" s="409"/>
      <c r="G1" s="409"/>
      <c r="H1" s="408"/>
      <c r="I1" s="408"/>
      <c r="J1" s="408"/>
      <c r="K1" s="408"/>
    </row>
    <row r="2" spans="1:16" ht="12" customHeight="1" thickBot="1">
      <c r="A2" s="408"/>
      <c r="B2" s="410" t="s">
        <v>10</v>
      </c>
      <c r="C2" s="461">
        <v>0</v>
      </c>
      <c r="D2" s="1238" t="s">
        <v>595</v>
      </c>
      <c r="E2" s="1239"/>
      <c r="F2" s="1240"/>
      <c r="G2" s="411"/>
      <c r="H2" s="412" t="s">
        <v>485</v>
      </c>
      <c r="I2" s="413" t="s">
        <v>604</v>
      </c>
      <c r="J2" s="413" t="s">
        <v>4</v>
      </c>
      <c r="K2" s="414" t="s">
        <v>8</v>
      </c>
      <c r="L2" s="258"/>
      <c r="M2" s="258"/>
    </row>
    <row r="3" spans="1:16" ht="12" customHeight="1" thickBot="1">
      <c r="A3" s="408"/>
      <c r="B3" s="415" t="s">
        <v>1</v>
      </c>
      <c r="C3" s="462"/>
      <c r="D3" s="1241"/>
      <c r="E3" s="1242"/>
      <c r="F3" s="1243"/>
      <c r="G3" s="411"/>
      <c r="H3" s="574" t="s">
        <v>372</v>
      </c>
      <c r="I3" s="575" t="str">
        <f>IF(AND($C$10+$C$11=1,$C$12+$C$13+$C$14+$C$15=0,$C$16=2),"ДА","НЕТ")</f>
        <v>НЕТ</v>
      </c>
      <c r="J3" s="576"/>
      <c r="K3" s="577">
        <f>IF(I3="ДА",($C$4+$C$5+$C$6+$C$7+$C$8+$C$9)*J3,0)</f>
        <v>0</v>
      </c>
      <c r="L3" s="268"/>
    </row>
    <row r="4" spans="1:16" ht="11.25" customHeight="1">
      <c r="A4" s="408"/>
      <c r="B4" s="418" t="s">
        <v>520</v>
      </c>
      <c r="C4" s="463">
        <v>1</v>
      </c>
      <c r="D4" s="1239" t="s">
        <v>596</v>
      </c>
      <c r="E4" s="1239"/>
      <c r="F4" s="1240"/>
      <c r="G4" s="411"/>
      <c r="H4" s="419" t="s">
        <v>373</v>
      </c>
      <c r="I4" s="417" t="str">
        <f>IF(AND($C$10+$C$11=1,$C$12+$C$13+$C$14+$C$15=0,$C$16=2),"ДА","НЕТ")</f>
        <v>НЕТ</v>
      </c>
      <c r="J4" s="398"/>
      <c r="K4" s="322">
        <f t="shared" ref="K4:K21" si="0">IF(I4="ДА",($C$4+$C$5+$C$6+$C$7+$C$8+$C$9)*J4,0)</f>
        <v>0</v>
      </c>
      <c r="L4" s="268"/>
      <c r="M4" s="470"/>
    </row>
    <row r="5" spans="1:16" ht="11.25" customHeight="1">
      <c r="A5" s="408"/>
      <c r="B5" s="420" t="s">
        <v>391</v>
      </c>
      <c r="C5" s="464"/>
      <c r="D5" s="1244"/>
      <c r="E5" s="1244"/>
      <c r="F5" s="1245"/>
      <c r="G5" s="411"/>
      <c r="H5" s="419" t="s">
        <v>374</v>
      </c>
      <c r="I5" s="417" t="str">
        <f>IF(AND($C$10+$C$11=1,$C$12+$C$13+$C$14+$C$15=0,$C$16=2),"ДА","НЕТ")</f>
        <v>НЕТ</v>
      </c>
      <c r="J5" s="398"/>
      <c r="K5" s="322">
        <f t="shared" si="0"/>
        <v>0</v>
      </c>
      <c r="L5" s="268"/>
      <c r="M5" s="470"/>
    </row>
    <row r="6" spans="1:16" ht="12" customHeight="1">
      <c r="A6" s="408"/>
      <c r="B6" s="420" t="s">
        <v>392</v>
      </c>
      <c r="C6" s="464">
        <v>0</v>
      </c>
      <c r="D6" s="1244"/>
      <c r="E6" s="1244"/>
      <c r="F6" s="1245"/>
      <c r="G6" s="411"/>
      <c r="H6" s="421" t="s">
        <v>376</v>
      </c>
      <c r="I6" s="417" t="str">
        <f>IF(AND($C$10+$C$11=1,$C$12+$C$13+$C$14+$C$15=0,$C$16=3),"ДА","НЕТ")</f>
        <v>НЕТ</v>
      </c>
      <c r="J6" s="325"/>
      <c r="K6" s="322">
        <f t="shared" si="0"/>
        <v>0</v>
      </c>
      <c r="L6" s="268"/>
      <c r="M6" s="470"/>
    </row>
    <row r="7" spans="1:16" ht="11.25" customHeight="1">
      <c r="A7" s="408"/>
      <c r="B7" s="422" t="s">
        <v>546</v>
      </c>
      <c r="C7" s="465">
        <v>0</v>
      </c>
      <c r="D7" s="1244"/>
      <c r="E7" s="1244"/>
      <c r="F7" s="1245"/>
      <c r="G7" s="411"/>
      <c r="H7" s="419" t="s">
        <v>489</v>
      </c>
      <c r="I7" s="417" t="str">
        <f>IF(AND($C$12=1,$C$11+$C$13+$C$14+$C$15=0,$C$16=1),"ДА","НЕТ")</f>
        <v>НЕТ</v>
      </c>
      <c r="J7" s="398"/>
      <c r="K7" s="322">
        <f t="shared" si="0"/>
        <v>0</v>
      </c>
      <c r="L7" s="268"/>
      <c r="M7" s="470"/>
      <c r="N7" s="257"/>
      <c r="O7" s="257"/>
      <c r="P7" s="257"/>
    </row>
    <row r="8" spans="1:16" ht="11.25" customHeight="1">
      <c r="A8" s="408"/>
      <c r="B8" s="420" t="s">
        <v>547</v>
      </c>
      <c r="C8" s="464">
        <v>0</v>
      </c>
      <c r="D8" s="1244"/>
      <c r="E8" s="1244"/>
      <c r="F8" s="1245"/>
      <c r="G8" s="411"/>
      <c r="H8" s="421" t="s">
        <v>486</v>
      </c>
      <c r="I8" s="417" t="str">
        <f>IF(AND($C$12=1,$C$11+$C$13+$C$14+$C$15=0,$C$16=3),"ДА","НЕТ")</f>
        <v>НЕТ</v>
      </c>
      <c r="J8" s="325"/>
      <c r="K8" s="322">
        <f t="shared" si="0"/>
        <v>0</v>
      </c>
      <c r="L8" s="268"/>
      <c r="M8" s="470"/>
    </row>
    <row r="9" spans="1:16" ht="12" customHeight="1" thickBot="1">
      <c r="A9" s="408"/>
      <c r="B9" s="415" t="s">
        <v>548</v>
      </c>
      <c r="C9" s="466">
        <v>0</v>
      </c>
      <c r="D9" s="1242"/>
      <c r="E9" s="1242"/>
      <c r="F9" s="1243"/>
      <c r="G9" s="411"/>
      <c r="H9" s="421" t="s">
        <v>487</v>
      </c>
      <c r="I9" s="417" t="str">
        <f>IF(AND($C$12=1,$C$11+$C$13+$C$14+$C$15=0,$C$16=2),"ДА","НЕТ")</f>
        <v>НЕТ</v>
      </c>
      <c r="J9" s="325"/>
      <c r="K9" s="322">
        <f t="shared" si="0"/>
        <v>0</v>
      </c>
      <c r="L9" s="268"/>
      <c r="M9" s="470"/>
      <c r="N9" s="71"/>
      <c r="O9" s="71"/>
    </row>
    <row r="10" spans="1:16" ht="11.25" customHeight="1">
      <c r="A10" s="408"/>
      <c r="B10" s="410" t="s">
        <v>521</v>
      </c>
      <c r="C10" s="467">
        <v>0</v>
      </c>
      <c r="D10" s="423" t="s">
        <v>287</v>
      </c>
      <c r="E10" s="424" t="s">
        <v>255</v>
      </c>
      <c r="F10" s="1246" t="s">
        <v>596</v>
      </c>
      <c r="G10" s="411"/>
      <c r="H10" s="421" t="s">
        <v>488</v>
      </c>
      <c r="I10" s="417" t="str">
        <f>IF(AND($C$12=1,$C$11+$C$13+$C$14+$C$15=0,$C$16=2),"ДА","НЕТ")</f>
        <v>НЕТ</v>
      </c>
      <c r="J10" s="325"/>
      <c r="K10" s="322">
        <f t="shared" si="0"/>
        <v>0</v>
      </c>
      <c r="L10" s="268"/>
      <c r="M10" s="470"/>
      <c r="N10" s="71"/>
      <c r="O10" s="71"/>
    </row>
    <row r="11" spans="1:16" ht="11.25" customHeight="1">
      <c r="A11" s="408"/>
      <c r="B11" s="422" t="s">
        <v>490</v>
      </c>
      <c r="C11" s="465"/>
      <c r="D11" s="425" t="s">
        <v>287</v>
      </c>
      <c r="E11" s="426" t="s">
        <v>255</v>
      </c>
      <c r="F11" s="1247"/>
      <c r="G11" s="411"/>
      <c r="H11" s="421" t="s">
        <v>494</v>
      </c>
      <c r="I11" s="417" t="str">
        <f>IF(AND($C$12=1,$C$11+$C$13+$C$14+$C$15=0,$C$16=2),"ДА","НЕТ")</f>
        <v>НЕТ</v>
      </c>
      <c r="J11" s="325"/>
      <c r="K11" s="322">
        <f t="shared" si="0"/>
        <v>0</v>
      </c>
      <c r="L11" s="268"/>
      <c r="M11" s="470"/>
      <c r="N11" s="71"/>
      <c r="O11" s="71"/>
    </row>
    <row r="12" spans="1:16" ht="12" customHeight="1">
      <c r="A12" s="408"/>
      <c r="B12" s="420" t="s">
        <v>491</v>
      </c>
      <c r="C12" s="464">
        <v>0</v>
      </c>
      <c r="D12" s="427" t="s">
        <v>287</v>
      </c>
      <c r="E12" s="428" t="s">
        <v>255</v>
      </c>
      <c r="F12" s="1247"/>
      <c r="G12" s="429"/>
      <c r="H12" s="421" t="s">
        <v>673</v>
      </c>
      <c r="I12" s="417" t="str">
        <f>IF(AND($C$13=1,$C$10+$C$11+$C$12+$C$14+$C$15=0,$C$16=2),"ДА","НЕТ")</f>
        <v>НЕТ</v>
      </c>
      <c r="J12" s="325"/>
      <c r="K12" s="322">
        <f t="shared" si="0"/>
        <v>0</v>
      </c>
      <c r="L12" s="268"/>
      <c r="M12" s="470"/>
    </row>
    <row r="13" spans="1:16" ht="11.25" customHeight="1">
      <c r="A13" s="408"/>
      <c r="B13" s="422" t="s">
        <v>522</v>
      </c>
      <c r="C13" s="465">
        <v>1</v>
      </c>
      <c r="D13" s="425" t="s">
        <v>287</v>
      </c>
      <c r="E13" s="426" t="s">
        <v>255</v>
      </c>
      <c r="F13" s="1247"/>
      <c r="G13" s="411"/>
      <c r="H13" s="421" t="s">
        <v>518</v>
      </c>
      <c r="I13" s="417" t="str">
        <f>IF(AND($C$13=1,$C$10+$C$11+$C$12+$C$14+$C$15=0,$C$16=2),"ДА","НЕТ")</f>
        <v>НЕТ</v>
      </c>
      <c r="J13" s="325"/>
      <c r="K13" s="322">
        <f t="shared" si="0"/>
        <v>0</v>
      </c>
      <c r="L13" s="268"/>
      <c r="M13" s="470"/>
    </row>
    <row r="14" spans="1:16" ht="11.25" customHeight="1">
      <c r="A14" s="408"/>
      <c r="B14" s="422" t="s">
        <v>492</v>
      </c>
      <c r="C14" s="465">
        <v>0</v>
      </c>
      <c r="D14" s="427" t="s">
        <v>287</v>
      </c>
      <c r="E14" s="428" t="s">
        <v>255</v>
      </c>
      <c r="F14" s="1247"/>
      <c r="G14" s="411"/>
      <c r="H14" s="421" t="s">
        <v>519</v>
      </c>
      <c r="I14" s="417" t="str">
        <f>IF(AND($C$13=1,$C$10+$C$11+$C$12+$C$14+$C$15=0,$C$16=1),"ДА","НЕТ")</f>
        <v>ДА</v>
      </c>
      <c r="J14" s="325"/>
      <c r="K14" s="322">
        <f t="shared" si="0"/>
        <v>0</v>
      </c>
      <c r="L14" s="268"/>
      <c r="M14" s="470"/>
    </row>
    <row r="15" spans="1:16" ht="12" customHeight="1" thickBot="1">
      <c r="A15" s="408"/>
      <c r="B15" s="415" t="s">
        <v>493</v>
      </c>
      <c r="C15" s="466">
        <v>0</v>
      </c>
      <c r="D15" s="430" t="s">
        <v>287</v>
      </c>
      <c r="E15" s="431" t="s">
        <v>255</v>
      </c>
      <c r="F15" s="1248"/>
      <c r="G15" s="429"/>
      <c r="H15" s="419" t="s">
        <v>379</v>
      </c>
      <c r="I15" s="417" t="str">
        <f>IF(AND($C$14=1,$C$10+$C$11+$C$12+$C$13+$C$15=0,$C$16=2),"ДА","НЕТ")</f>
        <v>НЕТ</v>
      </c>
      <c r="J15" s="328"/>
      <c r="K15" s="322">
        <f t="shared" si="0"/>
        <v>0</v>
      </c>
      <c r="L15" s="268"/>
      <c r="M15" s="470"/>
    </row>
    <row r="16" spans="1:16" ht="12" customHeight="1" thickBot="1">
      <c r="A16" s="408"/>
      <c r="B16" s="432" t="s">
        <v>589</v>
      </c>
      <c r="C16" s="468">
        <v>1</v>
      </c>
      <c r="D16" s="433" t="s">
        <v>619</v>
      </c>
      <c r="E16" s="431" t="s">
        <v>620</v>
      </c>
      <c r="F16" s="718" t="s">
        <v>621</v>
      </c>
      <c r="G16" s="429"/>
      <c r="H16" s="416" t="s">
        <v>381</v>
      </c>
      <c r="I16" s="417" t="str">
        <f>IF(AND($C$14=1,$C$10+$C$11+$C$12+$C$13+$C$15=0,$C$16=1),"ДА","НЕТ")</f>
        <v>НЕТ</v>
      </c>
      <c r="J16" s="328"/>
      <c r="K16" s="322">
        <f t="shared" si="0"/>
        <v>0</v>
      </c>
      <c r="L16" s="268"/>
      <c r="M16" s="470"/>
    </row>
    <row r="17" spans="1:13" ht="12" customHeight="1" thickBot="1">
      <c r="A17" s="408"/>
      <c r="B17" s="432" t="s">
        <v>531</v>
      </c>
      <c r="C17" s="468">
        <v>0</v>
      </c>
      <c r="D17" s="436" t="s">
        <v>287</v>
      </c>
      <c r="E17" s="719" t="s">
        <v>255</v>
      </c>
      <c r="F17" s="473" t="s">
        <v>668</v>
      </c>
      <c r="G17" s="411"/>
      <c r="H17" s="416" t="s">
        <v>382</v>
      </c>
      <c r="I17" s="417" t="str">
        <f>IF(AND($C$14=1,$C$10+$C$11+$C$12+$C$13+$C$15=0,$C$16=3),"ДА","НЕТ")</f>
        <v>НЕТ</v>
      </c>
      <c r="J17" s="328"/>
      <c r="K17" s="322">
        <f t="shared" si="0"/>
        <v>0</v>
      </c>
      <c r="L17" s="268"/>
      <c r="M17" s="470"/>
    </row>
    <row r="18" spans="1:13" ht="12" customHeight="1" thickBot="1">
      <c r="A18" s="408"/>
      <c r="B18" s="443" t="s">
        <v>532</v>
      </c>
      <c r="C18" s="469">
        <v>1</v>
      </c>
      <c r="D18" s="430" t="s">
        <v>287</v>
      </c>
      <c r="E18" s="431" t="s">
        <v>255</v>
      </c>
      <c r="F18" s="471"/>
      <c r="G18" s="411"/>
      <c r="H18" s="416" t="s">
        <v>383</v>
      </c>
      <c r="I18" s="417" t="str">
        <f>IF(AND($C$15=1,$C$10+$C$11+$C$12+$C$13+$C$14=0,$C$16=1),"ДА","НЕТ")</f>
        <v>НЕТ</v>
      </c>
      <c r="J18" s="328"/>
      <c r="K18" s="322">
        <f t="shared" si="0"/>
        <v>0</v>
      </c>
      <c r="L18" s="268"/>
      <c r="M18" s="470"/>
    </row>
    <row r="19" spans="1:13" ht="12" customHeight="1" thickBot="1">
      <c r="A19" s="408"/>
      <c r="B19" s="432" t="s">
        <v>393</v>
      </c>
      <c r="C19" s="468">
        <v>1</v>
      </c>
      <c r="D19" s="435" t="s">
        <v>394</v>
      </c>
      <c r="E19" s="719" t="s">
        <v>395</v>
      </c>
      <c r="F19" s="472"/>
      <c r="G19" s="438"/>
      <c r="H19" s="419" t="s">
        <v>384</v>
      </c>
      <c r="I19" s="417" t="str">
        <f>IF(AND($C$15=1,$C$10+$C$11+$C$12+$C$13+$C$14=0,$C$16=1),"ДА","НЕТ")</f>
        <v>НЕТ</v>
      </c>
      <c r="J19" s="328"/>
      <c r="K19" s="322">
        <f t="shared" si="0"/>
        <v>0</v>
      </c>
      <c r="L19" s="268"/>
      <c r="M19" s="470"/>
    </row>
    <row r="20" spans="1:13" ht="12" customHeight="1" thickBot="1">
      <c r="A20" s="408"/>
      <c r="B20" s="432" t="s">
        <v>722</v>
      </c>
      <c r="C20" s="469">
        <v>0</v>
      </c>
      <c r="D20" s="430" t="s">
        <v>287</v>
      </c>
      <c r="E20" s="431" t="s">
        <v>255</v>
      </c>
      <c r="F20" s="471"/>
      <c r="G20" s="438"/>
      <c r="H20" s="416" t="s">
        <v>388</v>
      </c>
      <c r="I20" s="417" t="str">
        <f>IF(AND($C$15=1,$C$10+$C$11+$C$12+$C$13+$C$14=0,$C$16=2),"ДА","НЕТ")</f>
        <v>НЕТ</v>
      </c>
      <c r="J20" s="328"/>
      <c r="K20" s="322">
        <f t="shared" si="0"/>
        <v>0</v>
      </c>
      <c r="L20" s="268"/>
      <c r="M20" s="470"/>
    </row>
    <row r="21" spans="1:13" ht="11.25" customHeight="1" thickBot="1">
      <c r="A21" s="408"/>
      <c r="B21" s="432" t="s">
        <v>358</v>
      </c>
      <c r="C21" s="468">
        <v>2</v>
      </c>
      <c r="D21" s="436" t="s">
        <v>622</v>
      </c>
      <c r="E21" s="719" t="s">
        <v>623</v>
      </c>
      <c r="F21" s="439" t="s">
        <v>624</v>
      </c>
      <c r="G21" s="411"/>
      <c r="H21" s="440" t="s">
        <v>389</v>
      </c>
      <c r="I21" s="441" t="str">
        <f>IF(AND($C$15=1,$C$10+$C$11+$C$12+$C$13+$C$14=0,$C$16=2),"ДА","НЕТ")</f>
        <v>НЕТ</v>
      </c>
      <c r="J21" s="335"/>
      <c r="K21" s="478">
        <f t="shared" si="0"/>
        <v>0</v>
      </c>
      <c r="L21" s="268"/>
      <c r="M21" s="470"/>
    </row>
    <row r="22" spans="1:13" ht="11.25" customHeight="1">
      <c r="A22" s="408"/>
      <c r="B22" s="410" t="s">
        <v>361</v>
      </c>
      <c r="C22" s="467">
        <v>0</v>
      </c>
      <c r="D22" s="423" t="s">
        <v>287</v>
      </c>
      <c r="E22" s="424" t="s">
        <v>255</v>
      </c>
      <c r="F22" s="1246" t="s">
        <v>597</v>
      </c>
      <c r="G22" s="411"/>
      <c r="H22" s="442"/>
      <c r="I22" s="442"/>
      <c r="J22" s="442"/>
      <c r="K22" s="442"/>
      <c r="L22" s="268"/>
      <c r="M22" s="470"/>
    </row>
    <row r="23" spans="1:13" ht="11.25" customHeight="1">
      <c r="A23" s="408"/>
      <c r="B23" s="420" t="s">
        <v>362</v>
      </c>
      <c r="C23" s="464">
        <v>0</v>
      </c>
      <c r="D23" s="427" t="s">
        <v>287</v>
      </c>
      <c r="E23" s="428" t="s">
        <v>255</v>
      </c>
      <c r="F23" s="1247"/>
      <c r="G23" s="411"/>
      <c r="H23" s="442"/>
      <c r="I23" s="442"/>
      <c r="J23" s="442"/>
      <c r="K23" s="442"/>
      <c r="L23" s="268"/>
      <c r="M23" s="470"/>
    </row>
    <row r="24" spans="1:13" ht="12" customHeight="1">
      <c r="A24" s="408"/>
      <c r="B24" s="420" t="s">
        <v>466</v>
      </c>
      <c r="C24" s="464">
        <v>0</v>
      </c>
      <c r="D24" s="427" t="s">
        <v>287</v>
      </c>
      <c r="E24" s="428" t="s">
        <v>255</v>
      </c>
      <c r="F24" s="1247"/>
      <c r="G24" s="411"/>
      <c r="H24" s="444"/>
      <c r="I24" s="444"/>
      <c r="J24" s="442"/>
      <c r="K24" s="442"/>
      <c r="L24" s="252"/>
      <c r="M24" s="252"/>
    </row>
    <row r="25" spans="1:13" ht="12" customHeight="1" thickBot="1">
      <c r="A25" s="408"/>
      <c r="B25" s="517" t="s">
        <v>523</v>
      </c>
      <c r="C25" s="516">
        <v>0</v>
      </c>
      <c r="D25" s="629" t="s">
        <v>287</v>
      </c>
      <c r="E25" s="519" t="s">
        <v>255</v>
      </c>
      <c r="F25" s="1247"/>
      <c r="G25" s="717"/>
      <c r="H25" s="444"/>
      <c r="I25" s="444"/>
      <c r="J25" s="442"/>
      <c r="K25" s="442"/>
      <c r="L25" s="252"/>
      <c r="M25" s="252"/>
    </row>
    <row r="26" spans="1:13" ht="12" customHeight="1">
      <c r="A26" s="408"/>
      <c r="B26" s="410" t="s">
        <v>147</v>
      </c>
      <c r="C26" s="467">
        <v>0</v>
      </c>
      <c r="D26" s="1249" t="s">
        <v>686</v>
      </c>
      <c r="E26" s="1250"/>
      <c r="F26" s="1251"/>
      <c r="G26" s="717"/>
      <c r="H26" s="444"/>
      <c r="I26" s="444"/>
      <c r="J26" s="442"/>
      <c r="K26" s="442"/>
      <c r="L26" s="252"/>
      <c r="M26" s="252"/>
    </row>
    <row r="27" spans="1:13" ht="12" customHeight="1">
      <c r="A27" s="408"/>
      <c r="B27" s="420" t="s">
        <v>146</v>
      </c>
      <c r="C27" s="464">
        <v>0</v>
      </c>
      <c r="D27" s="1252" t="s">
        <v>687</v>
      </c>
      <c r="E27" s="1253"/>
      <c r="F27" s="1254"/>
      <c r="G27" s="717"/>
      <c r="H27" s="444"/>
      <c r="I27" s="444"/>
      <c r="J27" s="442"/>
      <c r="K27" s="442"/>
      <c r="L27" s="252"/>
      <c r="M27" s="252"/>
    </row>
    <row r="28" spans="1:13" ht="12" customHeight="1" thickBot="1">
      <c r="A28" s="408"/>
      <c r="B28" s="415" t="s">
        <v>143</v>
      </c>
      <c r="C28" s="466">
        <v>0</v>
      </c>
      <c r="D28" s="1255" t="s">
        <v>688</v>
      </c>
      <c r="E28" s="1256"/>
      <c r="F28" s="1257"/>
      <c r="G28" s="411"/>
      <c r="H28" s="446"/>
      <c r="I28" s="442"/>
      <c r="J28" s="442"/>
      <c r="K28" s="442"/>
    </row>
    <row r="29" spans="1:13" ht="12.75" customHeight="1" thickBot="1">
      <c r="A29" s="408"/>
      <c r="B29" s="1235"/>
      <c r="C29" s="1235"/>
      <c r="D29" s="1235"/>
      <c r="E29" s="1235"/>
      <c r="F29" s="411"/>
      <c r="G29" s="451"/>
      <c r="H29" s="446"/>
      <c r="I29" s="442"/>
      <c r="J29" s="442"/>
      <c r="K29" s="442"/>
    </row>
    <row r="30" spans="1:13" ht="12" customHeight="1">
      <c r="A30" s="408"/>
      <c r="B30" s="447" t="s">
        <v>5</v>
      </c>
      <c r="C30" s="448" t="s">
        <v>0</v>
      </c>
      <c r="D30" s="449" t="s">
        <v>4</v>
      </c>
      <c r="E30" s="450" t="s">
        <v>8</v>
      </c>
      <c r="F30" s="451"/>
      <c r="G30" s="348"/>
      <c r="H30" s="411"/>
      <c r="I30" s="411"/>
      <c r="J30" s="442"/>
      <c r="K30" s="442"/>
    </row>
    <row r="31" spans="1:13">
      <c r="A31" s="408"/>
      <c r="B31" s="452" t="s">
        <v>605</v>
      </c>
      <c r="C31" s="345">
        <f>IF(C17=0,C24*(C4+C5+C6+C7+C8+C9),0)</f>
        <v>0</v>
      </c>
      <c r="D31" s="399">
        <v>1</v>
      </c>
      <c r="E31" s="347">
        <f>C31*D31</f>
        <v>0</v>
      </c>
      <c r="F31" s="348"/>
      <c r="G31" s="348"/>
      <c r="H31" s="442"/>
      <c r="I31" s="442"/>
      <c r="J31" s="442"/>
      <c r="K31" s="442"/>
    </row>
    <row r="32" spans="1:13">
      <c r="A32" s="408"/>
      <c r="B32" s="452" t="s">
        <v>563</v>
      </c>
      <c r="C32" s="345">
        <f>IF(C17=0,C25*(C4+C5+C6+C7+C8+C9),0)</f>
        <v>0</v>
      </c>
      <c r="D32" s="399"/>
      <c r="E32" s="347">
        <f t="shared" ref="E32:E93" si="1">C32*D32</f>
        <v>0</v>
      </c>
      <c r="F32" s="348"/>
      <c r="G32" s="348"/>
      <c r="H32" s="453"/>
      <c r="I32" s="411"/>
      <c r="J32" s="442"/>
      <c r="K32" s="442"/>
    </row>
    <row r="33" spans="1:11">
      <c r="A33" s="408"/>
      <c r="B33" s="452" t="s">
        <v>606</v>
      </c>
      <c r="C33" s="345">
        <f>IF(C17=1,C24*C17*(C4+C5+C6+C7+C8+C9),0)</f>
        <v>0</v>
      </c>
      <c r="D33" s="399"/>
      <c r="E33" s="347">
        <f t="shared" si="1"/>
        <v>0</v>
      </c>
      <c r="F33" s="348"/>
      <c r="G33" s="348"/>
      <c r="H33" s="453"/>
      <c r="I33" s="411"/>
      <c r="J33" s="442"/>
      <c r="K33" s="442"/>
    </row>
    <row r="34" spans="1:11">
      <c r="A34" s="408"/>
      <c r="B34" s="452" t="s">
        <v>117</v>
      </c>
      <c r="C34" s="345">
        <f>IF(C17=0,(C22+C23)*2*(C4+C5+C6+C7+C8+C9),0)</f>
        <v>0</v>
      </c>
      <c r="D34" s="399"/>
      <c r="E34" s="347">
        <f t="shared" si="1"/>
        <v>0</v>
      </c>
      <c r="F34" s="348"/>
      <c r="G34" s="348"/>
      <c r="H34" s="453"/>
      <c r="I34" s="411"/>
      <c r="J34" s="442"/>
      <c r="K34" s="442"/>
    </row>
    <row r="35" spans="1:11">
      <c r="A35" s="408"/>
      <c r="B35" s="344" t="s">
        <v>723</v>
      </c>
      <c r="C35" s="345">
        <f>(IF(AND(C4+C5+C6=0,(C7+C8+C9)&gt;0,C20=1,C2&lt;=1),(C7+C8+C9)*2,(IF(AND(C4+C5+C6=0,(C7+C8+C9)&gt;0,C20=1,C2&lt;=1.5),(C7+C8+C9)*3,(IF(AND(C4+C5+C6=0,(C7+C8+C9)&gt;0,C20=1,C2&lt;=2),(C7+C8+C9)*4,(IF(AND(C4+C5+C6=0,(C7+C8+C9)&gt;0,C20=1,C2&lt;=2.5),(C7+C8+C9)*5,(IF(AND(C4+C5+C6=0,(C7+C8+C9)&gt;0,C20=1,C2&lt;=3),(C7+C8+C9)*6,(IF(AND(C4+C5+C6=0,(C7+C8+C9)&gt;0,C20=1,C2&lt;=3.5),(C7+C8+C9)*7,(IF(AND(C4+C5+C6=0,(C7+C8+C9)&gt;0,C20=1,C2&lt;=4),(C7+C8+C9)*8,(IF(AND(C4+C5+C6=0,(C7+C8+C9)&gt;0,C20=1,C2&lt;=4.5),(C7+C8+C9)*9,(IF(AND(C4+C5+C6=0,(C7+C8+C9)&gt;0,C20=1,C2&lt;=5),(C7+C8+C9)*10,0))))))))))))))))))</f>
        <v>0</v>
      </c>
      <c r="D35" s="399"/>
      <c r="E35" s="347">
        <f t="shared" si="1"/>
        <v>0</v>
      </c>
      <c r="F35" s="348"/>
      <c r="G35" s="348"/>
      <c r="H35" s="453"/>
      <c r="I35" s="774"/>
      <c r="J35" s="442"/>
      <c r="K35" s="442"/>
    </row>
    <row r="36" spans="1:11">
      <c r="A36" s="408"/>
      <c r="B36" s="454" t="s">
        <v>479</v>
      </c>
      <c r="C36" s="350">
        <f>(IF(AND(C4+C5+C6=0,(C7+C8+C9)&gt;0,C20=0,C2&lt;=1),(C7+C8+C9)*2,(IF(AND(C4+C5+C6=0,(C7+C8+C9)&gt;0,C20=0,C2&lt;=1.5),(C7+C8+C9)*3,(IF(AND(C4+C5+C6=0,(C7+C8+C9)&gt;0,C20=0,C2&lt;=2),(C7+C8+C9)*4,(IF(AND(C4+C5+C6=0,(C7+C8+C9)&gt;0,C20=0,C2&lt;=2.5),(C7+C8+C9)*5,(IF(AND(C4+C5+C6=0,(C7+C8+C9)&gt;0,C20=0,C2&lt;=3),(C7+C8+C9)*6,(IF(AND(C4+C5+C6=0,(C7+C8+C9)&gt;0,C20=0,C2&lt;=3.5),(C7+C8+C9)*7,(IF(AND(C4+C5+C6=0,(C7+C8+C9)&gt;0,C20=0,C2&lt;=4),(C7+C8+C9)*8,(IF(AND(C4+C5+C6=0,(C7+C8+C9)&gt;0,C20=0,C2&lt;=4.5),(C7+C8+C9)*9,(IF(AND(C4+C5+C6=0,(C7+C8+C9)&gt;0,C20=0,C2&lt;=5),(C7+C8+C9)*10,0))))))))))))))))))</f>
        <v>0</v>
      </c>
      <c r="D36" s="400"/>
      <c r="E36" s="347">
        <f t="shared" si="1"/>
        <v>0</v>
      </c>
      <c r="F36" s="348"/>
      <c r="G36" s="348"/>
      <c r="H36" s="453"/>
      <c r="I36" s="411"/>
      <c r="J36" s="442"/>
      <c r="K36" s="442"/>
    </row>
    <row r="37" spans="1:11">
      <c r="A37" s="408"/>
      <c r="B37" s="454" t="s">
        <v>447</v>
      </c>
      <c r="C37" s="350">
        <f>IF(AND(C21=1,C19=0),(C4+C5+C6+C7+C8+C9)*2,0)</f>
        <v>0</v>
      </c>
      <c r="D37" s="356"/>
      <c r="E37" s="347">
        <f t="shared" si="1"/>
        <v>0</v>
      </c>
      <c r="F37" s="348"/>
      <c r="G37" s="348"/>
      <c r="H37" s="453"/>
      <c r="I37" s="716"/>
      <c r="J37" s="442"/>
      <c r="K37" s="442"/>
    </row>
    <row r="38" spans="1:11">
      <c r="A38" s="408"/>
      <c r="B38" s="454" t="s">
        <v>447</v>
      </c>
      <c r="C38" s="350">
        <f>IF(AND(C21=1,C19=1,C18=1),(C4+C5+C6+C7+C8+C9),0)</f>
        <v>0</v>
      </c>
      <c r="D38" s="356"/>
      <c r="E38" s="347">
        <f>C38*D38</f>
        <v>0</v>
      </c>
      <c r="F38" s="348"/>
      <c r="G38" s="348"/>
      <c r="H38" s="453"/>
      <c r="I38" s="411"/>
      <c r="J38" s="442"/>
      <c r="K38" s="442"/>
    </row>
    <row r="39" spans="1:11">
      <c r="A39" s="408"/>
      <c r="B39" s="454" t="s">
        <v>549</v>
      </c>
      <c r="C39" s="350">
        <f>IF(AND(C21=1,C19=1,C18=1),(C5+C6+C7+C8+C9+C4),0)</f>
        <v>0</v>
      </c>
      <c r="D39" s="356"/>
      <c r="E39" s="347">
        <f t="shared" si="1"/>
        <v>0</v>
      </c>
      <c r="F39" s="348"/>
      <c r="G39" s="348"/>
      <c r="H39" s="453"/>
      <c r="I39" s="411"/>
      <c r="J39" s="442"/>
      <c r="K39" s="442"/>
    </row>
    <row r="40" spans="1:11">
      <c r="A40" s="408"/>
      <c r="B40" s="454" t="s">
        <v>449</v>
      </c>
      <c r="C40" s="350">
        <f>IF(AND(C19=1,C21=2,C18=1),(C4+C5+C6+C7+C8+C9),0)</f>
        <v>1</v>
      </c>
      <c r="D40" s="356"/>
      <c r="E40" s="347">
        <f t="shared" si="1"/>
        <v>0</v>
      </c>
      <c r="F40" s="348"/>
      <c r="G40" s="348"/>
      <c r="H40" s="453"/>
      <c r="I40" s="411"/>
      <c r="J40" s="442"/>
      <c r="K40" s="442"/>
    </row>
    <row r="41" spans="1:11">
      <c r="A41" s="408"/>
      <c r="B41" s="454" t="s">
        <v>550</v>
      </c>
      <c r="C41" s="350">
        <f>IF(C21=3,(C9+C4+C5+C6+C7+C8)*2,0)</f>
        <v>0</v>
      </c>
      <c r="D41" s="356"/>
      <c r="E41" s="347">
        <f t="shared" si="1"/>
        <v>0</v>
      </c>
      <c r="F41" s="348"/>
      <c r="G41" s="348"/>
      <c r="H41" s="453"/>
      <c r="I41" s="411"/>
      <c r="J41" s="442"/>
      <c r="K41" s="442"/>
    </row>
    <row r="42" spans="1:11">
      <c r="A42" s="408"/>
      <c r="B42" s="454" t="s">
        <v>448</v>
      </c>
      <c r="C42" s="350">
        <f>IF(AND(C21=2,C19=0),(C4+C5+C6+C7+C8+C9)*2,0)</f>
        <v>0</v>
      </c>
      <c r="D42" s="356"/>
      <c r="E42" s="347">
        <f t="shared" si="1"/>
        <v>0</v>
      </c>
      <c r="F42" s="348"/>
      <c r="G42" s="348"/>
      <c r="H42" s="453"/>
      <c r="I42" s="716"/>
      <c r="J42" s="442"/>
      <c r="K42" s="442"/>
    </row>
    <row r="43" spans="1:11">
      <c r="A43" s="408"/>
      <c r="B43" s="454" t="s">
        <v>448</v>
      </c>
      <c r="C43" s="350">
        <f>IF(AND(C21=2,C19=1,C18=1),(C5+C6+C7+C8+C9+C4),0)</f>
        <v>1</v>
      </c>
      <c r="D43" s="356"/>
      <c r="E43" s="347">
        <f>C43*D43</f>
        <v>0</v>
      </c>
      <c r="F43" s="348"/>
      <c r="G43" s="348"/>
      <c r="H43" s="453"/>
      <c r="I43" s="411"/>
      <c r="J43" s="442"/>
      <c r="K43" s="442"/>
    </row>
    <row r="44" spans="1:11">
      <c r="A44" s="408"/>
      <c r="B44" s="454" t="s">
        <v>607</v>
      </c>
      <c r="C44" s="350">
        <f>IF(AND(C21=1,C18=0),(C4+C5+C6)*2,0)</f>
        <v>0</v>
      </c>
      <c r="D44" s="356"/>
      <c r="E44" s="347">
        <f t="shared" si="1"/>
        <v>0</v>
      </c>
      <c r="F44" s="348"/>
      <c r="G44" s="348"/>
      <c r="H44" s="453"/>
      <c r="I44" s="411"/>
      <c r="J44" s="442"/>
      <c r="K44" s="442"/>
    </row>
    <row r="45" spans="1:11">
      <c r="A45" s="408"/>
      <c r="B45" s="454" t="s">
        <v>607</v>
      </c>
      <c r="C45" s="350">
        <f>IF(AND(C21=1,C18=1),C5+C6+C4,0)</f>
        <v>0</v>
      </c>
      <c r="D45" s="356"/>
      <c r="E45" s="347">
        <f t="shared" si="1"/>
        <v>0</v>
      </c>
      <c r="F45" s="348"/>
      <c r="G45" s="348"/>
      <c r="H45" s="442"/>
      <c r="I45" s="442"/>
      <c r="J45" s="442"/>
      <c r="K45" s="442"/>
    </row>
    <row r="46" spans="1:11">
      <c r="A46" s="408"/>
      <c r="B46" s="454" t="s">
        <v>608</v>
      </c>
      <c r="C46" s="350">
        <f>IF(AND(C21=1,C18=1),C6+C4+C5,0)</f>
        <v>0</v>
      </c>
      <c r="D46" s="356"/>
      <c r="E46" s="347">
        <f t="shared" si="1"/>
        <v>0</v>
      </c>
      <c r="F46" s="348"/>
      <c r="G46" s="348"/>
      <c r="H46" s="442"/>
      <c r="I46" s="442"/>
      <c r="J46" s="442"/>
      <c r="K46" s="442"/>
    </row>
    <row r="47" spans="1:11">
      <c r="A47" s="408"/>
      <c r="B47" s="452" t="s">
        <v>609</v>
      </c>
      <c r="C47" s="353">
        <f>IF(AND(C21=1,C18=0),(C7+C8+C9)*2,0)</f>
        <v>0</v>
      </c>
      <c r="D47" s="401"/>
      <c r="E47" s="347">
        <f t="shared" si="1"/>
        <v>0</v>
      </c>
      <c r="F47" s="348"/>
      <c r="G47" s="348"/>
      <c r="H47" s="442"/>
      <c r="I47" s="442"/>
      <c r="J47" s="442"/>
      <c r="K47" s="442"/>
    </row>
    <row r="48" spans="1:11">
      <c r="A48" s="408"/>
      <c r="B48" s="452" t="s">
        <v>610</v>
      </c>
      <c r="C48" s="353">
        <f>IF(AND(C21=1,C21=2),C8+C9+C7,0)</f>
        <v>0</v>
      </c>
      <c r="D48" s="401"/>
      <c r="E48" s="347">
        <f t="shared" si="1"/>
        <v>0</v>
      </c>
      <c r="F48" s="348"/>
      <c r="G48" s="348"/>
      <c r="H48" s="442"/>
      <c r="I48" s="442"/>
      <c r="J48" s="442"/>
      <c r="K48" s="442"/>
    </row>
    <row r="49" spans="1:11">
      <c r="A49" s="408"/>
      <c r="B49" s="452" t="s">
        <v>611</v>
      </c>
      <c r="C49" s="353">
        <f>IF(AND(C21=1,C18=1),C9+C7+C8,0)</f>
        <v>0</v>
      </c>
      <c r="D49" s="401"/>
      <c r="E49" s="347">
        <f t="shared" si="1"/>
        <v>0</v>
      </c>
      <c r="F49" s="348"/>
      <c r="G49" s="348"/>
      <c r="H49" s="442"/>
      <c r="I49" s="442"/>
      <c r="J49" s="442"/>
      <c r="K49" s="442"/>
    </row>
    <row r="50" spans="1:11">
      <c r="A50" s="408"/>
      <c r="B50" s="452" t="s">
        <v>611</v>
      </c>
      <c r="C50" s="353">
        <f>IF(AND(C21=2,C18=1),C4+C5+C6,0)</f>
        <v>1</v>
      </c>
      <c r="D50" s="401"/>
      <c r="E50" s="347">
        <f t="shared" si="1"/>
        <v>0</v>
      </c>
      <c r="F50" s="348"/>
      <c r="G50" s="348"/>
      <c r="H50" s="442"/>
      <c r="I50" s="442"/>
      <c r="J50" s="442"/>
      <c r="K50" s="442"/>
    </row>
    <row r="51" spans="1:11">
      <c r="A51" s="408"/>
      <c r="B51" s="452" t="s">
        <v>609</v>
      </c>
      <c r="C51" s="353">
        <f>IF(AND(C21=2,C18=1),C4+C5+C6,0)</f>
        <v>1</v>
      </c>
      <c r="D51" s="401"/>
      <c r="E51" s="347">
        <f t="shared" si="1"/>
        <v>0</v>
      </c>
      <c r="F51" s="348"/>
      <c r="G51" s="348"/>
      <c r="H51" s="442"/>
      <c r="I51" s="442"/>
      <c r="J51" s="442"/>
      <c r="K51" s="442"/>
    </row>
    <row r="52" spans="1:11">
      <c r="A52" s="408"/>
      <c r="B52" s="452" t="s">
        <v>609</v>
      </c>
      <c r="C52" s="353">
        <f>IF(AND(C21=2,C18=0),(C4+C5+C6)*2,0)</f>
        <v>0</v>
      </c>
      <c r="D52" s="401"/>
      <c r="E52" s="347">
        <f t="shared" si="1"/>
        <v>0</v>
      </c>
      <c r="F52" s="348"/>
      <c r="G52" s="348"/>
      <c r="H52" s="442"/>
      <c r="I52" s="442"/>
      <c r="J52" s="442"/>
      <c r="K52" s="442"/>
    </row>
    <row r="53" spans="1:11">
      <c r="A53" s="408"/>
      <c r="B53" s="454" t="s">
        <v>612</v>
      </c>
      <c r="C53" s="353">
        <f>IF(AND(C21=2,C18=1),(C7+C8+C9),0)</f>
        <v>0</v>
      </c>
      <c r="D53" s="401"/>
      <c r="E53" s="347">
        <f t="shared" si="1"/>
        <v>0</v>
      </c>
      <c r="F53" s="348"/>
      <c r="G53" s="348"/>
      <c r="H53" s="442"/>
      <c r="I53" s="442"/>
      <c r="J53" s="442"/>
      <c r="K53" s="442"/>
    </row>
    <row r="54" spans="1:11">
      <c r="A54" s="408"/>
      <c r="B54" s="454" t="s">
        <v>613</v>
      </c>
      <c r="C54" s="353">
        <f>IF(AND(C21=2,C18=1),(C7+C8+C9),0)</f>
        <v>0</v>
      </c>
      <c r="D54" s="401"/>
      <c r="E54" s="347">
        <f t="shared" si="1"/>
        <v>0</v>
      </c>
      <c r="F54" s="348"/>
      <c r="G54" s="348"/>
      <c r="H54" s="442"/>
      <c r="I54" s="442"/>
      <c r="J54" s="442"/>
      <c r="K54" s="442"/>
    </row>
    <row r="55" spans="1:11">
      <c r="A55" s="408"/>
      <c r="B55" s="454" t="s">
        <v>614</v>
      </c>
      <c r="C55" s="350">
        <f>IF(AND(C21=2,C18=0),(C7+C8+C9)*2,0)</f>
        <v>0</v>
      </c>
      <c r="D55" s="356"/>
      <c r="E55" s="347">
        <f t="shared" si="1"/>
        <v>0</v>
      </c>
      <c r="F55" s="348"/>
      <c r="G55" s="348"/>
      <c r="H55" s="442"/>
      <c r="I55" s="442"/>
      <c r="J55" s="442"/>
      <c r="K55" s="442"/>
    </row>
    <row r="56" spans="1:11">
      <c r="A56" s="408"/>
      <c r="B56" s="454" t="s">
        <v>615</v>
      </c>
      <c r="C56" s="350">
        <f>IF(AND(C21=3,C18=0),(C4+C5+C6)*2,0)</f>
        <v>0</v>
      </c>
      <c r="D56" s="356"/>
      <c r="E56" s="347">
        <f t="shared" si="1"/>
        <v>0</v>
      </c>
      <c r="F56" s="348"/>
      <c r="G56" s="348"/>
      <c r="H56" s="442"/>
      <c r="I56" s="442"/>
      <c r="J56" s="442"/>
      <c r="K56" s="442"/>
    </row>
    <row r="57" spans="1:11">
      <c r="A57" s="408"/>
      <c r="B57" s="452" t="s">
        <v>474</v>
      </c>
      <c r="C57" s="345">
        <f>(C5+C8+C25)*C2</f>
        <v>0</v>
      </c>
      <c r="D57" s="399"/>
      <c r="E57" s="347">
        <f t="shared" si="1"/>
        <v>0</v>
      </c>
      <c r="F57" s="348"/>
      <c r="G57" s="348"/>
      <c r="H57" s="442"/>
      <c r="I57" s="442"/>
      <c r="J57" s="442"/>
      <c r="K57" s="442"/>
    </row>
    <row r="58" spans="1:11">
      <c r="A58" s="408"/>
      <c r="B58" s="454" t="s">
        <v>363</v>
      </c>
      <c r="C58" s="350">
        <f>C23*2*C2</f>
        <v>0</v>
      </c>
      <c r="D58" s="356"/>
      <c r="E58" s="347">
        <f t="shared" si="1"/>
        <v>0</v>
      </c>
      <c r="F58" s="348"/>
      <c r="G58" s="348"/>
      <c r="H58" s="442"/>
      <c r="I58" s="442"/>
      <c r="J58" s="442"/>
      <c r="K58" s="442"/>
    </row>
    <row r="59" spans="1:11">
      <c r="A59" s="408"/>
      <c r="B59" s="454" t="s">
        <v>118</v>
      </c>
      <c r="C59" s="350">
        <f>C2*(C22+C24)</f>
        <v>0</v>
      </c>
      <c r="D59" s="356"/>
      <c r="E59" s="347">
        <f t="shared" si="1"/>
        <v>0</v>
      </c>
      <c r="F59" s="348"/>
      <c r="G59" s="348"/>
      <c r="H59" s="442"/>
      <c r="I59" s="442"/>
      <c r="J59" s="442"/>
      <c r="K59" s="442"/>
    </row>
    <row r="60" spans="1:11">
      <c r="A60" s="408"/>
      <c r="B60" s="454" t="s">
        <v>480</v>
      </c>
      <c r="C60" s="350">
        <f>(C4+C6+C7+C9)*C2</f>
        <v>0</v>
      </c>
      <c r="D60" s="356"/>
      <c r="E60" s="347">
        <f t="shared" si="1"/>
        <v>0</v>
      </c>
      <c r="F60" s="348"/>
      <c r="G60" s="348"/>
      <c r="H60" s="442"/>
      <c r="I60" s="442"/>
      <c r="J60" s="442"/>
      <c r="K60" s="442"/>
    </row>
    <row r="61" spans="1:11">
      <c r="A61" s="408"/>
      <c r="B61" s="454" t="s">
        <v>616</v>
      </c>
      <c r="C61" s="350">
        <f>C24*C2*(C4+C5+C6+C7+C8+C9)</f>
        <v>0</v>
      </c>
      <c r="D61" s="356"/>
      <c r="E61" s="347">
        <f t="shared" si="1"/>
        <v>0</v>
      </c>
      <c r="F61" s="348"/>
      <c r="G61" s="348"/>
      <c r="H61" s="442"/>
      <c r="I61" s="442"/>
      <c r="J61" s="442"/>
      <c r="K61" s="442"/>
    </row>
    <row r="62" spans="1:11">
      <c r="A62" s="408"/>
      <c r="B62" s="454" t="s">
        <v>467</v>
      </c>
      <c r="C62" s="350">
        <f>C25*C2*(C4+C5+C6+C7+C8+C9)</f>
        <v>0</v>
      </c>
      <c r="D62" s="356"/>
      <c r="E62" s="347">
        <f t="shared" si="1"/>
        <v>0</v>
      </c>
      <c r="F62" s="348"/>
      <c r="G62" s="348"/>
      <c r="H62" s="442"/>
      <c r="I62" s="442"/>
      <c r="J62" s="442"/>
      <c r="K62" s="442"/>
    </row>
    <row r="63" spans="1:11">
      <c r="A63" s="408"/>
      <c r="B63" s="454" t="s">
        <v>364</v>
      </c>
      <c r="C63" s="350">
        <f>C22*C2*(C4+C5+C6+C7+C8+C9)</f>
        <v>0</v>
      </c>
      <c r="D63" s="356"/>
      <c r="E63" s="347">
        <f t="shared" si="1"/>
        <v>0</v>
      </c>
      <c r="F63" s="348"/>
      <c r="G63" s="348"/>
      <c r="H63" s="442"/>
      <c r="I63" s="442"/>
      <c r="J63" s="442"/>
      <c r="K63" s="442"/>
    </row>
    <row r="64" spans="1:11">
      <c r="A64" s="408"/>
      <c r="B64" s="454" t="s">
        <v>365</v>
      </c>
      <c r="C64" s="350">
        <f>C23*C2*(C4+C5+C6+C7+C8+C9)</f>
        <v>0</v>
      </c>
      <c r="D64" s="356"/>
      <c r="E64" s="347">
        <f t="shared" si="1"/>
        <v>0</v>
      </c>
      <c r="F64" s="348"/>
      <c r="G64" s="348"/>
      <c r="H64" s="442"/>
      <c r="I64" s="442"/>
      <c r="J64" s="442"/>
      <c r="K64" s="442"/>
    </row>
    <row r="65" spans="1:11">
      <c r="A65" s="408"/>
      <c r="B65" s="452" t="s">
        <v>450</v>
      </c>
      <c r="C65" s="345">
        <f>C2*(C6+C9)</f>
        <v>0</v>
      </c>
      <c r="D65" s="399"/>
      <c r="E65" s="347">
        <f t="shared" si="1"/>
        <v>0</v>
      </c>
      <c r="F65" s="348"/>
      <c r="G65" s="348"/>
      <c r="H65" s="442"/>
      <c r="I65" s="442"/>
      <c r="J65" s="442"/>
      <c r="K65" s="442"/>
    </row>
    <row r="66" spans="1:11">
      <c r="A66" s="408"/>
      <c r="B66" s="452" t="s">
        <v>525</v>
      </c>
      <c r="C66" s="345">
        <f>C2*(C7+C4)</f>
        <v>0</v>
      </c>
      <c r="D66" s="399"/>
      <c r="E66" s="347">
        <f t="shared" si="1"/>
        <v>0</v>
      </c>
      <c r="F66" s="348"/>
      <c r="G66" s="348"/>
      <c r="H66" s="442"/>
      <c r="I66" s="442"/>
      <c r="J66" s="442"/>
      <c r="K66" s="442"/>
    </row>
    <row r="67" spans="1:11">
      <c r="A67" s="408"/>
      <c r="B67" s="452" t="s">
        <v>451</v>
      </c>
      <c r="C67" s="345">
        <f>C2*(C5+C8)</f>
        <v>0</v>
      </c>
      <c r="D67" s="399"/>
      <c r="E67" s="347">
        <f t="shared" si="1"/>
        <v>0</v>
      </c>
      <c r="F67" s="348"/>
      <c r="G67" s="348"/>
      <c r="H67" s="442"/>
      <c r="I67" s="442"/>
      <c r="J67" s="442"/>
      <c r="K67" s="442"/>
    </row>
    <row r="68" spans="1:11">
      <c r="A68" s="408"/>
      <c r="B68" s="452" t="s">
        <v>617</v>
      </c>
      <c r="C68" s="345">
        <f>(C7+C8+C9)*C2</f>
        <v>0</v>
      </c>
      <c r="D68" s="399"/>
      <c r="E68" s="347">
        <f t="shared" si="1"/>
        <v>0</v>
      </c>
      <c r="F68" s="348"/>
      <c r="G68" s="348"/>
      <c r="H68" s="442"/>
      <c r="I68" s="442"/>
      <c r="J68" s="442"/>
      <c r="K68" s="442"/>
    </row>
    <row r="69" spans="1:11">
      <c r="A69" s="408"/>
      <c r="B69" s="454" t="s">
        <v>618</v>
      </c>
      <c r="C69" s="350">
        <f>IF(C21=2,C18,0)</f>
        <v>1</v>
      </c>
      <c r="D69" s="356"/>
      <c r="E69" s="347">
        <f t="shared" si="1"/>
        <v>0</v>
      </c>
      <c r="F69" s="348"/>
      <c r="G69" s="348"/>
      <c r="H69" s="442"/>
      <c r="I69" s="442"/>
      <c r="J69" s="442"/>
      <c r="K69" s="442"/>
    </row>
    <row r="70" spans="1:11">
      <c r="A70" s="408"/>
      <c r="B70" s="454" t="s">
        <v>471</v>
      </c>
      <c r="C70" s="350">
        <f>C6+C9</f>
        <v>0</v>
      </c>
      <c r="D70" s="356"/>
      <c r="E70" s="347">
        <f t="shared" si="1"/>
        <v>0</v>
      </c>
      <c r="F70" s="348"/>
      <c r="G70" s="348"/>
      <c r="H70" s="442"/>
      <c r="I70" s="442"/>
      <c r="J70" s="442"/>
      <c r="K70" s="442"/>
    </row>
    <row r="71" spans="1:11">
      <c r="A71" s="408"/>
      <c r="B71" s="454" t="s">
        <v>367</v>
      </c>
      <c r="C71" s="350">
        <f>C5+C8</f>
        <v>0</v>
      </c>
      <c r="D71" s="356"/>
      <c r="E71" s="347">
        <f t="shared" si="1"/>
        <v>0</v>
      </c>
      <c r="F71" s="348"/>
      <c r="G71" s="348"/>
      <c r="H71" s="442"/>
      <c r="I71" s="442"/>
      <c r="J71" s="442"/>
      <c r="K71" s="442"/>
    </row>
    <row r="72" spans="1:11">
      <c r="A72" s="408"/>
      <c r="B72" s="454" t="s">
        <v>368</v>
      </c>
      <c r="C72" s="350">
        <f>(C7+C8+C9)*4</f>
        <v>0</v>
      </c>
      <c r="D72" s="356"/>
      <c r="E72" s="347">
        <f t="shared" si="1"/>
        <v>0</v>
      </c>
      <c r="F72" s="348"/>
      <c r="G72" s="348"/>
      <c r="H72" s="442"/>
      <c r="I72" s="442"/>
      <c r="J72" s="442"/>
      <c r="K72" s="442"/>
    </row>
    <row r="73" spans="1:11">
      <c r="A73" s="408"/>
      <c r="B73" s="454" t="s">
        <v>369</v>
      </c>
      <c r="C73" s="350">
        <f>C17*((C3*2)+C2+0.3)</f>
        <v>0</v>
      </c>
      <c r="D73" s="356"/>
      <c r="E73" s="347">
        <f t="shared" si="1"/>
        <v>0</v>
      </c>
      <c r="F73" s="348"/>
      <c r="G73" s="348"/>
      <c r="H73" s="442"/>
      <c r="I73" s="442"/>
      <c r="J73" s="442"/>
      <c r="K73" s="442"/>
    </row>
    <row r="74" spans="1:11">
      <c r="A74" s="408"/>
      <c r="B74" s="454" t="s">
        <v>526</v>
      </c>
      <c r="C74" s="350">
        <f>IF(C19=0,C17*2,0)</f>
        <v>0</v>
      </c>
      <c r="D74" s="356"/>
      <c r="E74" s="347">
        <f t="shared" si="1"/>
        <v>0</v>
      </c>
      <c r="F74" s="348"/>
      <c r="G74" s="348"/>
      <c r="H74" s="442"/>
      <c r="I74" s="442"/>
      <c r="J74" s="442"/>
      <c r="K74" s="442"/>
    </row>
    <row r="75" spans="1:11">
      <c r="A75" s="408"/>
      <c r="B75" s="454" t="s">
        <v>527</v>
      </c>
      <c r="C75" s="350">
        <f>IF(C19=1,C17*2,0)</f>
        <v>0</v>
      </c>
      <c r="D75" s="356"/>
      <c r="E75" s="347">
        <f t="shared" si="1"/>
        <v>0</v>
      </c>
      <c r="F75" s="348"/>
      <c r="G75" s="348"/>
      <c r="H75" s="442"/>
      <c r="I75" s="442"/>
      <c r="J75" s="442"/>
      <c r="K75" s="442"/>
    </row>
    <row r="76" spans="1:11">
      <c r="A76" s="408"/>
      <c r="B76" s="454" t="s">
        <v>371</v>
      </c>
      <c r="C76" s="350">
        <f>C17*2</f>
        <v>0</v>
      </c>
      <c r="D76" s="356"/>
      <c r="E76" s="347">
        <f t="shared" si="1"/>
        <v>0</v>
      </c>
      <c r="F76" s="348"/>
      <c r="G76" s="348"/>
      <c r="H76" s="442"/>
      <c r="I76" s="442"/>
      <c r="J76" s="442"/>
      <c r="K76" s="442"/>
    </row>
    <row r="77" spans="1:11">
      <c r="A77" s="408"/>
      <c r="B77" s="454" t="s">
        <v>452</v>
      </c>
      <c r="C77" s="350">
        <f>C17*2</f>
        <v>0</v>
      </c>
      <c r="D77" s="356"/>
      <c r="E77" s="347">
        <f t="shared" si="1"/>
        <v>0</v>
      </c>
      <c r="F77" s="348"/>
      <c r="G77" s="348"/>
      <c r="H77" s="442"/>
      <c r="I77" s="442"/>
      <c r="J77" s="442"/>
      <c r="K77" s="442"/>
    </row>
    <row r="78" spans="1:11">
      <c r="A78" s="408"/>
      <c r="B78" s="454" t="s">
        <v>453</v>
      </c>
      <c r="C78" s="350">
        <f>C17*2</f>
        <v>0</v>
      </c>
      <c r="D78" s="356"/>
      <c r="E78" s="347">
        <f t="shared" si="1"/>
        <v>0</v>
      </c>
      <c r="F78" s="348"/>
      <c r="G78" s="348"/>
      <c r="H78" s="442"/>
      <c r="I78" s="442"/>
      <c r="J78" s="442"/>
      <c r="K78" s="442"/>
    </row>
    <row r="79" spans="1:11">
      <c r="A79" s="408"/>
      <c r="B79" s="454" t="s">
        <v>828</v>
      </c>
      <c r="C79" s="350">
        <f>IF(C18=0,C4+C5+C6+C7+C8+C9,0)</f>
        <v>0</v>
      </c>
      <c r="D79" s="356"/>
      <c r="E79" s="347">
        <f t="shared" si="1"/>
        <v>0</v>
      </c>
      <c r="F79" s="348"/>
      <c r="G79" s="348"/>
      <c r="H79" s="442"/>
      <c r="I79" s="442"/>
      <c r="J79" s="442"/>
      <c r="K79" s="442"/>
    </row>
    <row r="80" spans="1:11">
      <c r="A80" s="408"/>
      <c r="B80" s="454" t="s">
        <v>336</v>
      </c>
      <c r="C80" s="350">
        <f>C17</f>
        <v>0</v>
      </c>
      <c r="D80" s="356"/>
      <c r="E80" s="347">
        <f t="shared" si="1"/>
        <v>0</v>
      </c>
      <c r="F80" s="348"/>
      <c r="G80" s="348"/>
      <c r="H80" s="442"/>
      <c r="I80" s="442"/>
      <c r="J80" s="442"/>
      <c r="K80" s="442"/>
    </row>
    <row r="81" spans="1:11">
      <c r="A81" s="408"/>
      <c r="B81" s="455" t="s">
        <v>454</v>
      </c>
      <c r="C81" s="402">
        <f>C4+C5+C7+C8</f>
        <v>1</v>
      </c>
      <c r="D81" s="356"/>
      <c r="E81" s="403">
        <f t="shared" si="1"/>
        <v>0</v>
      </c>
      <c r="F81" s="348"/>
      <c r="G81" s="348"/>
      <c r="H81" s="456"/>
      <c r="I81" s="456"/>
      <c r="J81" s="442"/>
      <c r="K81" s="442"/>
    </row>
    <row r="82" spans="1:11">
      <c r="A82" s="408"/>
      <c r="B82" s="455" t="s">
        <v>375</v>
      </c>
      <c r="C82" s="402">
        <f>(C10+C11)*(C4+C5+C7+C8)</f>
        <v>0</v>
      </c>
      <c r="D82" s="356"/>
      <c r="E82" s="403">
        <f t="shared" si="1"/>
        <v>0</v>
      </c>
      <c r="F82" s="348"/>
      <c r="G82" s="348"/>
      <c r="H82" s="442"/>
      <c r="I82" s="442"/>
      <c r="J82" s="442"/>
      <c r="K82" s="442"/>
    </row>
    <row r="83" spans="1:11">
      <c r="A83" s="408"/>
      <c r="B83" s="455" t="s">
        <v>495</v>
      </c>
      <c r="C83" s="402">
        <f>C11*(C5+C8)</f>
        <v>0</v>
      </c>
      <c r="D83" s="356"/>
      <c r="E83" s="403">
        <f t="shared" si="1"/>
        <v>0</v>
      </c>
      <c r="F83" s="348"/>
      <c r="G83" s="348"/>
      <c r="H83" s="442"/>
      <c r="I83" s="442"/>
      <c r="J83" s="442"/>
      <c r="K83" s="442"/>
    </row>
    <row r="84" spans="1:11">
      <c r="A84" s="408"/>
      <c r="B84" s="455" t="s">
        <v>377</v>
      </c>
      <c r="C84" s="402">
        <f>C12*(C6+C9)</f>
        <v>0</v>
      </c>
      <c r="D84" s="356"/>
      <c r="E84" s="403">
        <f t="shared" si="1"/>
        <v>0</v>
      </c>
      <c r="F84" s="348"/>
      <c r="G84" s="348"/>
      <c r="H84" s="442"/>
      <c r="I84" s="442"/>
      <c r="J84" s="442"/>
      <c r="K84" s="442"/>
    </row>
    <row r="85" spans="1:11">
      <c r="A85" s="408"/>
      <c r="B85" s="455" t="s">
        <v>378</v>
      </c>
      <c r="C85" s="402">
        <f>C12*(C6+C9)</f>
        <v>0</v>
      </c>
      <c r="D85" s="356"/>
      <c r="E85" s="403">
        <f t="shared" si="1"/>
        <v>0</v>
      </c>
      <c r="F85" s="348"/>
      <c r="G85" s="348"/>
      <c r="H85" s="442"/>
      <c r="I85" s="442"/>
      <c r="J85" s="442"/>
      <c r="K85" s="442"/>
    </row>
    <row r="86" spans="1:11" hidden="1">
      <c r="A86" s="408"/>
      <c r="B86" s="455" t="s">
        <v>528</v>
      </c>
      <c r="C86" s="402">
        <f>C4+C7</f>
        <v>1</v>
      </c>
      <c r="D86" s="356"/>
      <c r="E86" s="403">
        <f t="shared" si="1"/>
        <v>0</v>
      </c>
      <c r="F86" s="348"/>
      <c r="G86" s="348"/>
      <c r="H86" s="442"/>
      <c r="I86" s="442"/>
      <c r="J86" s="442"/>
      <c r="K86" s="442"/>
    </row>
    <row r="87" spans="1:11">
      <c r="A87" s="408"/>
      <c r="B87" s="455" t="s">
        <v>380</v>
      </c>
      <c r="C87" s="402">
        <f>C14*(C8+C5)</f>
        <v>0</v>
      </c>
      <c r="D87" s="356"/>
      <c r="E87" s="403">
        <f t="shared" si="1"/>
        <v>0</v>
      </c>
      <c r="F87" s="348"/>
      <c r="G87" s="348"/>
      <c r="H87" s="442"/>
      <c r="I87" s="442"/>
      <c r="J87" s="442"/>
      <c r="K87" s="442"/>
    </row>
    <row r="88" spans="1:11" ht="11.25" customHeight="1">
      <c r="A88" s="408"/>
      <c r="B88" s="455" t="s">
        <v>529</v>
      </c>
      <c r="C88" s="402">
        <f>(C14+C13)*(C4+C5+C7+C8)</f>
        <v>1</v>
      </c>
      <c r="D88" s="356"/>
      <c r="E88" s="403">
        <f t="shared" si="1"/>
        <v>0</v>
      </c>
      <c r="F88" s="348"/>
      <c r="G88" s="348"/>
      <c r="H88" s="442"/>
      <c r="I88" s="442"/>
      <c r="J88" s="442"/>
      <c r="K88" s="442"/>
    </row>
    <row r="89" spans="1:11" ht="11.25" customHeight="1">
      <c r="A89" s="408"/>
      <c r="B89" s="455" t="s">
        <v>386</v>
      </c>
      <c r="C89" s="402">
        <f>C15*(C6+C9)</f>
        <v>0</v>
      </c>
      <c r="D89" s="404"/>
      <c r="E89" s="403">
        <f t="shared" si="1"/>
        <v>0</v>
      </c>
      <c r="F89" s="348"/>
      <c r="G89" s="348"/>
      <c r="H89" s="442"/>
      <c r="I89" s="442"/>
      <c r="J89" s="442"/>
      <c r="K89" s="442"/>
    </row>
    <row r="90" spans="1:11" ht="11.25" customHeight="1">
      <c r="A90" s="408"/>
      <c r="B90" s="154" t="s">
        <v>145</v>
      </c>
      <c r="C90" s="402">
        <f>C27</f>
        <v>0</v>
      </c>
      <c r="D90" s="724"/>
      <c r="E90" s="403">
        <f t="shared" si="1"/>
        <v>0</v>
      </c>
      <c r="F90" s="348"/>
      <c r="G90" s="348"/>
      <c r="H90" s="442"/>
      <c r="I90" s="442"/>
      <c r="J90" s="442"/>
      <c r="K90" s="442"/>
    </row>
    <row r="91" spans="1:11" ht="11.25" customHeight="1">
      <c r="A91" s="408"/>
      <c r="B91" s="154" t="s">
        <v>148</v>
      </c>
      <c r="C91" s="402">
        <f>C26</f>
        <v>0</v>
      </c>
      <c r="D91" s="724"/>
      <c r="E91" s="403">
        <f t="shared" si="1"/>
        <v>0</v>
      </c>
      <c r="F91" s="348"/>
      <c r="G91" s="348"/>
      <c r="H91" s="442"/>
      <c r="I91" s="442"/>
      <c r="J91" s="442"/>
      <c r="K91" s="442"/>
    </row>
    <row r="92" spans="1:11" ht="11.25" customHeight="1">
      <c r="A92" s="408"/>
      <c r="B92" s="23" t="s">
        <v>689</v>
      </c>
      <c r="C92" s="402">
        <f>C28</f>
        <v>0</v>
      </c>
      <c r="D92" s="724"/>
      <c r="E92" s="403">
        <f t="shared" si="1"/>
        <v>0</v>
      </c>
      <c r="F92" s="348"/>
      <c r="G92" s="348"/>
      <c r="H92" s="442"/>
      <c r="I92" s="442"/>
      <c r="J92" s="442"/>
      <c r="K92" s="442"/>
    </row>
    <row r="93" spans="1:11" ht="11.25" customHeight="1" thickBot="1">
      <c r="A93" s="408"/>
      <c r="B93" s="725" t="s">
        <v>387</v>
      </c>
      <c r="C93" s="405">
        <f>C15*(C6+C9)</f>
        <v>0</v>
      </c>
      <c r="D93" s="406"/>
      <c r="E93" s="407">
        <f t="shared" si="1"/>
        <v>0</v>
      </c>
      <c r="F93" s="348"/>
      <c r="G93" s="460"/>
      <c r="H93" s="442"/>
      <c r="I93" s="442"/>
      <c r="J93" s="442"/>
      <c r="K93" s="442"/>
    </row>
    <row r="94" spans="1:11" ht="11.25" customHeight="1" thickBot="1">
      <c r="A94" s="408"/>
      <c r="B94" s="442"/>
      <c r="C94" s="442"/>
      <c r="D94" s="458" t="s">
        <v>9</v>
      </c>
      <c r="E94" s="459">
        <f>SUMIF(E31:E93,"&gt;0",E31:E93)</f>
        <v>0</v>
      </c>
      <c r="F94" s="460"/>
      <c r="G94" s="442"/>
      <c r="H94" s="442"/>
      <c r="I94" s="442"/>
      <c r="J94" s="442"/>
      <c r="K94" s="442"/>
    </row>
    <row r="95" spans="1:11" ht="11.25" customHeight="1">
      <c r="A95" s="408"/>
      <c r="B95" s="442"/>
      <c r="C95" s="442"/>
      <c r="D95" s="442"/>
      <c r="E95" s="442"/>
      <c r="F95" s="442"/>
      <c r="G95" s="442"/>
      <c r="H95" s="442"/>
      <c r="I95" s="442"/>
      <c r="J95" s="442"/>
      <c r="K95" s="444"/>
    </row>
    <row r="96" spans="1:11" ht="11.25" customHeight="1">
      <c r="A96" s="408"/>
      <c r="B96" s="442"/>
      <c r="C96" s="442"/>
      <c r="D96" s="442"/>
      <c r="E96" s="442"/>
      <c r="F96" s="442"/>
      <c r="G96" s="442"/>
      <c r="H96" s="442"/>
      <c r="I96" s="442"/>
      <c r="J96" s="442"/>
      <c r="K96" s="442"/>
    </row>
    <row r="97" spans="1:11" ht="11.25" customHeight="1">
      <c r="A97" s="408"/>
      <c r="B97" s="442"/>
      <c r="C97" s="442"/>
      <c r="D97" s="442"/>
      <c r="E97" s="442"/>
      <c r="F97" s="442"/>
      <c r="G97" s="408"/>
      <c r="H97" s="408"/>
      <c r="I97" s="408"/>
      <c r="J97" s="408"/>
      <c r="K97" s="408"/>
    </row>
    <row r="98" spans="1:11" ht="11.25" customHeight="1">
      <c r="A98" s="408"/>
      <c r="B98" s="408"/>
      <c r="C98" s="408"/>
      <c r="D98" s="408"/>
      <c r="E98" s="408"/>
      <c r="F98" s="408"/>
      <c r="G98" s="408"/>
      <c r="H98" s="408"/>
      <c r="I98" s="408"/>
      <c r="J98" s="408"/>
      <c r="K98" s="408"/>
    </row>
    <row r="99" spans="1:11" ht="11.25" customHeight="1">
      <c r="A99" s="408"/>
      <c r="B99" s="408"/>
      <c r="C99" s="408"/>
      <c r="D99" s="408"/>
      <c r="E99" s="408"/>
      <c r="F99" s="408"/>
      <c r="G99" s="408"/>
      <c r="H99" s="408"/>
      <c r="I99" s="408"/>
      <c r="J99" s="408"/>
      <c r="K99" s="408"/>
    </row>
    <row r="100" spans="1:11" ht="11.25" customHeight="1">
      <c r="A100" s="408"/>
      <c r="B100" s="408"/>
      <c r="C100" s="408"/>
      <c r="D100" s="408"/>
      <c r="E100" s="408"/>
      <c r="F100" s="408"/>
      <c r="G100" s="408"/>
      <c r="H100" s="408"/>
      <c r="I100" s="408"/>
      <c r="J100" s="408"/>
      <c r="K100" s="408"/>
    </row>
    <row r="101" spans="1:11" ht="11.25" customHeight="1">
      <c r="A101" s="408"/>
      <c r="B101" s="408"/>
      <c r="C101" s="408"/>
      <c r="D101" s="408"/>
      <c r="E101" s="408"/>
      <c r="F101" s="408"/>
      <c r="G101" s="408"/>
      <c r="H101" s="408"/>
      <c r="I101" s="408"/>
      <c r="J101" s="408"/>
      <c r="K101" s="408"/>
    </row>
    <row r="102" spans="1:11" ht="11.25" customHeight="1">
      <c r="A102" s="408"/>
      <c r="B102" s="408"/>
      <c r="C102" s="408"/>
      <c r="D102" s="408"/>
      <c r="E102" s="408"/>
      <c r="F102" s="408"/>
      <c r="G102" s="408"/>
      <c r="H102" s="408"/>
      <c r="I102" s="408"/>
      <c r="J102" s="408"/>
      <c r="K102" s="408"/>
    </row>
    <row r="103" spans="1:11" ht="11.25" customHeight="1">
      <c r="A103" s="408"/>
      <c r="B103" s="408"/>
      <c r="C103" s="408"/>
      <c r="D103" s="408"/>
      <c r="E103" s="408"/>
      <c r="F103" s="408"/>
      <c r="G103" s="408"/>
      <c r="H103" s="408"/>
      <c r="I103" s="408"/>
      <c r="J103" s="408"/>
      <c r="K103" s="408"/>
    </row>
    <row r="104" spans="1:11" ht="11.25" customHeight="1">
      <c r="A104" s="408"/>
      <c r="B104" s="408"/>
      <c r="C104" s="408"/>
      <c r="D104" s="408"/>
      <c r="E104" s="408"/>
      <c r="F104" s="408"/>
      <c r="G104" s="408"/>
      <c r="H104" s="408"/>
      <c r="I104" s="408"/>
      <c r="J104" s="408"/>
      <c r="K104" s="408"/>
    </row>
    <row r="105" spans="1:11" ht="10.5" customHeight="1">
      <c r="B105" s="408"/>
      <c r="C105" s="408"/>
      <c r="D105" s="408"/>
      <c r="E105" s="408"/>
      <c r="F105" s="408"/>
    </row>
    <row r="106" spans="1:11" ht="11.25" customHeight="1"/>
    <row r="107" spans="1:11" ht="10.5" customHeight="1"/>
    <row r="108" spans="1:11" ht="11.25" customHeight="1"/>
    <row r="109" spans="1:11" ht="11.25" customHeight="1"/>
    <row r="110" spans="1:11" ht="11.25" customHeight="1"/>
    <row r="111" spans="1:11" ht="11.25" customHeight="1"/>
    <row r="112" spans="1:11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2" customHeight="1"/>
  </sheetData>
  <sheetProtection algorithmName="SHA-512" hashValue="d+kac1TgPi6mW2YGsccOylMuo+mkj0MCcZOz4z1mAE58jRUEeuWdjLZ09OyJGdxehbsyJfqOeWyAHO/d9PtUig==" saltValue="3FBnOVTQJKObptdjb5rxjw==" spinCount="100000" sheet="1" objects="1" scenarios="1"/>
  <mergeCells count="9">
    <mergeCell ref="B29:E29"/>
    <mergeCell ref="B1:E1"/>
    <mergeCell ref="D2:F3"/>
    <mergeCell ref="D4:F9"/>
    <mergeCell ref="F10:F15"/>
    <mergeCell ref="F22:F25"/>
    <mergeCell ref="D26:F26"/>
    <mergeCell ref="D27:F27"/>
    <mergeCell ref="D28:F28"/>
  </mergeCells>
  <conditionalFormatting sqref="I3:I21">
    <cfRule type="cellIs" dxfId="656" priority="17" operator="equal">
      <formula>"ДА"</formula>
    </cfRule>
    <cfRule type="cellIs" dxfId="655" priority="18" operator="equal">
      <formula>"НЕТ"</formula>
    </cfRule>
  </conditionalFormatting>
  <conditionalFormatting sqref="I3:I21">
    <cfRule type="colorScale" priority="1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9:E42 C44:E93 C31:E37">
    <cfRule type="cellIs" dxfId="654" priority="10" operator="greaterThan">
      <formula>0</formula>
    </cfRule>
  </conditionalFormatting>
  <conditionalFormatting sqref="E94">
    <cfRule type="cellIs" dxfId="653" priority="8" operator="greaterThan">
      <formula>0</formula>
    </cfRule>
    <cfRule type="cellIs" dxfId="652" priority="9" operator="greaterThan">
      <formula>0</formula>
    </cfRule>
  </conditionalFormatting>
  <conditionalFormatting sqref="J3:K21">
    <cfRule type="cellIs" dxfId="651" priority="7" operator="greaterThan">
      <formula>0</formula>
    </cfRule>
  </conditionalFormatting>
  <conditionalFormatting sqref="C2:C19 C21:C28">
    <cfRule type="cellIs" dxfId="650" priority="6" operator="greaterThan">
      <formula>0</formula>
    </cfRule>
  </conditionalFormatting>
  <conditionalFormatting sqref="K3:K21">
    <cfRule type="cellIs" dxfId="649" priority="5" operator="greaterThan">
      <formula>0</formula>
    </cfRule>
  </conditionalFormatting>
  <conditionalFormatting sqref="C38:E38">
    <cfRule type="cellIs" dxfId="648" priority="4" operator="greaterThan">
      <formula>0</formula>
    </cfRule>
  </conditionalFormatting>
  <conditionalFormatting sqref="C43:E43">
    <cfRule type="cellIs" dxfId="647" priority="3" operator="greaterThan">
      <formula>0</formula>
    </cfRule>
  </conditionalFormatting>
  <conditionalFormatting sqref="C90:C92">
    <cfRule type="cellIs" dxfId="646" priority="2" operator="greaterThan">
      <formula>0</formula>
    </cfRule>
  </conditionalFormatting>
  <conditionalFormatting sqref="C20">
    <cfRule type="cellIs" dxfId="645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I8" formula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D21" sqref="D21"/>
    </sheetView>
  </sheetViews>
  <sheetFormatPr defaultRowHeight="11.25"/>
  <cols>
    <col min="1" max="1" width="10.6640625" customWidth="1"/>
    <col min="2" max="2" width="48" customWidth="1"/>
    <col min="6" max="6" width="32.1640625" customWidth="1"/>
    <col min="8" max="8" width="51.1640625" customWidth="1"/>
  </cols>
  <sheetData>
    <row r="1" spans="1:12" ht="56.25" customHeight="1" thickBot="1">
      <c r="A1" s="408"/>
      <c r="B1" s="1236"/>
      <c r="C1" s="1237"/>
      <c r="D1" s="1237"/>
      <c r="E1" s="1237"/>
      <c r="F1" s="790"/>
      <c r="G1" s="790"/>
      <c r="H1" s="408"/>
      <c r="I1" s="408"/>
      <c r="J1" s="408"/>
      <c r="K1" s="408"/>
    </row>
    <row r="2" spans="1:12" ht="26.25" customHeight="1" thickBot="1">
      <c r="A2" s="408"/>
      <c r="B2" s="410" t="s">
        <v>10</v>
      </c>
      <c r="C2" s="461">
        <v>0</v>
      </c>
      <c r="D2" s="1238" t="s">
        <v>595</v>
      </c>
      <c r="E2" s="1239"/>
      <c r="F2" s="1240"/>
      <c r="G2" s="789"/>
      <c r="H2" s="412" t="s">
        <v>485</v>
      </c>
      <c r="I2" s="413" t="s">
        <v>604</v>
      </c>
      <c r="J2" s="413" t="s">
        <v>4</v>
      </c>
      <c r="K2" s="414" t="s">
        <v>8</v>
      </c>
      <c r="L2" s="258"/>
    </row>
    <row r="3" spans="1:12" ht="12.75" thickBot="1">
      <c r="A3" s="408"/>
      <c r="B3" s="415" t="s">
        <v>1</v>
      </c>
      <c r="C3" s="462"/>
      <c r="D3" s="1241"/>
      <c r="E3" s="1242"/>
      <c r="F3" s="1243"/>
      <c r="G3" s="789"/>
      <c r="H3" s="574" t="s">
        <v>372</v>
      </c>
      <c r="I3" s="575" t="str">
        <f>IF(AND($C$6+$C$7=1,$C$8+$C$9=0,$C$10=2),"ДА","НЕТ")</f>
        <v>НЕТ</v>
      </c>
      <c r="J3" s="576"/>
      <c r="K3" s="577">
        <f>IF(I3="ДА",($C$4+$C$5+#REF!+#REF!+#REF!+#REF!)*J3,0)</f>
        <v>0</v>
      </c>
      <c r="L3" s="268"/>
    </row>
    <row r="4" spans="1:12" ht="12" customHeight="1">
      <c r="A4" s="408"/>
      <c r="B4" s="418" t="s">
        <v>520</v>
      </c>
      <c r="C4" s="463">
        <v>0</v>
      </c>
      <c r="D4" s="1238" t="s">
        <v>596</v>
      </c>
      <c r="E4" s="1239"/>
      <c r="F4" s="1240"/>
      <c r="G4" s="789"/>
      <c r="H4" s="419" t="s">
        <v>373</v>
      </c>
      <c r="I4" s="417" t="str">
        <f>IF(AND($C$6+$C$7=1,$C$8+$C$9=0,$C$10=2),"ДА","НЕТ")</f>
        <v>НЕТ</v>
      </c>
      <c r="J4" s="398"/>
      <c r="K4" s="322">
        <f>IF(I4="ДА",($C$4+$C$5+#REF!+#REF!+#REF!+#REF!)*J4,0)</f>
        <v>0</v>
      </c>
      <c r="L4" s="268"/>
    </row>
    <row r="5" spans="1:12" ht="12.75" thickBot="1">
      <c r="A5" s="408"/>
      <c r="B5" s="420" t="s">
        <v>391</v>
      </c>
      <c r="C5" s="464">
        <v>0</v>
      </c>
      <c r="D5" s="1241"/>
      <c r="E5" s="1242"/>
      <c r="F5" s="1243"/>
      <c r="G5" s="789"/>
      <c r="H5" s="419" t="s">
        <v>374</v>
      </c>
      <c r="I5" s="417" t="str">
        <f>IF(AND($C$6+$C$7=1,$C$8+$C$9=0,$C$10=2),"ДА","НЕТ")</f>
        <v>НЕТ</v>
      </c>
      <c r="J5" s="398"/>
      <c r="K5" s="322">
        <f>IF(I5="ДА",($C$4+$C$5+#REF!+#REF!+#REF!+#REF!)*J5,0)</f>
        <v>0</v>
      </c>
      <c r="L5" s="268"/>
    </row>
    <row r="6" spans="1:12" ht="12" customHeight="1">
      <c r="A6" s="408"/>
      <c r="B6" s="410" t="s">
        <v>521</v>
      </c>
      <c r="C6" s="467">
        <v>0</v>
      </c>
      <c r="D6" s="423" t="s">
        <v>287</v>
      </c>
      <c r="E6" s="424" t="s">
        <v>255</v>
      </c>
      <c r="F6" s="1246" t="s">
        <v>596</v>
      </c>
      <c r="G6" s="789"/>
      <c r="H6" s="421" t="s">
        <v>376</v>
      </c>
      <c r="I6" s="417" t="str">
        <f>IF(AND($C$6+$C$7=1,$C$8+$C$9=0,$C$10=3),"ДА","НЕТ")</f>
        <v>НЕТ</v>
      </c>
      <c r="J6" s="325"/>
      <c r="K6" s="322">
        <f>IF(I6="ДА",($C$4+$C$5+#REF!+#REF!+#REF!+#REF!)*J6,0)</f>
        <v>0</v>
      </c>
      <c r="L6" s="268"/>
    </row>
    <row r="7" spans="1:12" ht="12">
      <c r="A7" s="408"/>
      <c r="B7" s="422" t="s">
        <v>490</v>
      </c>
      <c r="C7" s="465">
        <v>0</v>
      </c>
      <c r="D7" s="425" t="s">
        <v>287</v>
      </c>
      <c r="E7" s="426" t="s">
        <v>255</v>
      </c>
      <c r="F7" s="1247"/>
      <c r="G7" s="789"/>
      <c r="H7" s="421" t="s">
        <v>673</v>
      </c>
      <c r="I7" s="417" t="str">
        <f>IF(AND($C$8=1,$C$6+$C$7+$C$9=0,$C$10=2),"ДА","НЕТ")</f>
        <v>НЕТ</v>
      </c>
      <c r="J7" s="325"/>
      <c r="K7" s="322">
        <f>IF(I7="ДА",($C$4+$C$5+#REF!+#REF!+#REF!+#REF!)*J7,0)</f>
        <v>0</v>
      </c>
      <c r="L7" s="268"/>
    </row>
    <row r="8" spans="1:12" ht="12">
      <c r="A8" s="408"/>
      <c r="B8" s="422" t="s">
        <v>522</v>
      </c>
      <c r="C8" s="465">
        <v>0</v>
      </c>
      <c r="D8" s="425" t="s">
        <v>287</v>
      </c>
      <c r="E8" s="426" t="s">
        <v>255</v>
      </c>
      <c r="F8" s="1247"/>
      <c r="G8" s="789"/>
      <c r="H8" s="421" t="s">
        <v>518</v>
      </c>
      <c r="I8" s="417" t="str">
        <f>IF(AND($C$8=1,$C$6+$C$7+$C$9=0,$C$10=2),"ДА","НЕТ")</f>
        <v>НЕТ</v>
      </c>
      <c r="J8" s="325"/>
      <c r="K8" s="322">
        <f>IF(I8="ДА",($C$4+$C$5+#REF!+#REF!+#REF!+#REF!)*J8,0)</f>
        <v>0</v>
      </c>
      <c r="L8" s="268"/>
    </row>
    <row r="9" spans="1:12" ht="12.75" thickBot="1">
      <c r="A9" s="408"/>
      <c r="B9" s="443" t="s">
        <v>492</v>
      </c>
      <c r="C9" s="469">
        <v>0</v>
      </c>
      <c r="D9" s="490" t="s">
        <v>287</v>
      </c>
      <c r="E9" s="491" t="s">
        <v>255</v>
      </c>
      <c r="F9" s="1248"/>
      <c r="G9" s="789"/>
      <c r="H9" s="421" t="s">
        <v>519</v>
      </c>
      <c r="I9" s="417" t="str">
        <f>IF(AND($C$8=1,$C$6+$C$7+$C$9=0,$C$10=1),"ДА","НЕТ")</f>
        <v>НЕТ</v>
      </c>
      <c r="J9" s="325"/>
      <c r="K9" s="322">
        <f>IF(I9="ДА",($C$4+$C$5+#REF!+#REF!+#REF!+#REF!)*J9,0)</f>
        <v>0</v>
      </c>
      <c r="L9" s="268"/>
    </row>
    <row r="10" spans="1:12" ht="12" customHeight="1" thickBot="1">
      <c r="A10" s="408"/>
      <c r="B10" s="443" t="s">
        <v>589</v>
      </c>
      <c r="C10" s="469">
        <v>0</v>
      </c>
      <c r="D10" s="433" t="s">
        <v>619</v>
      </c>
      <c r="E10" s="431" t="s">
        <v>620</v>
      </c>
      <c r="F10" s="792" t="s">
        <v>621</v>
      </c>
      <c r="G10" s="789"/>
      <c r="H10" s="419" t="s">
        <v>379</v>
      </c>
      <c r="I10" s="417" t="str">
        <f>IF(AND($C$9=1,$C$6+$C$7+$C$8=0,$C$10=2),"ДА","НЕТ")</f>
        <v>НЕТ</v>
      </c>
      <c r="J10" s="328"/>
      <c r="K10" s="322">
        <f>IF(I10="ДА",($C$4+$C$5+#REF!+#REF!+#REF!+#REF!)*J10,0)</f>
        <v>0</v>
      </c>
      <c r="L10" s="268"/>
    </row>
    <row r="11" spans="1:12" ht="12.75" thickBot="1">
      <c r="A11" s="408"/>
      <c r="B11" s="432" t="s">
        <v>393</v>
      </c>
      <c r="C11" s="468">
        <v>0</v>
      </c>
      <c r="D11" s="435" t="s">
        <v>394</v>
      </c>
      <c r="E11" s="793" t="s">
        <v>395</v>
      </c>
      <c r="F11" s="472"/>
      <c r="G11" s="789"/>
      <c r="H11" s="416" t="s">
        <v>381</v>
      </c>
      <c r="I11" s="417" t="str">
        <f>IF(AND($C$9=1,$C$6+$C$7+$C$8=0,$C$10=1),"ДА","НЕТ")</f>
        <v>НЕТ</v>
      </c>
      <c r="J11" s="328"/>
      <c r="K11" s="322">
        <f>IF(I11="ДА",($C$4+$C$5+#REF!+#REF!+#REF!+#REF!)*J11,0)</f>
        <v>0</v>
      </c>
      <c r="L11" s="268"/>
    </row>
    <row r="12" spans="1:12" ht="12.75" thickBot="1">
      <c r="A12" s="408"/>
      <c r="B12" s="410" t="s">
        <v>361</v>
      </c>
      <c r="C12" s="467">
        <v>0</v>
      </c>
      <c r="D12" s="423" t="s">
        <v>287</v>
      </c>
      <c r="E12" s="424" t="s">
        <v>255</v>
      </c>
      <c r="F12" s="1246" t="s">
        <v>597</v>
      </c>
      <c r="G12" s="429"/>
      <c r="H12" s="824" t="s">
        <v>382</v>
      </c>
      <c r="I12" s="441" t="str">
        <f>IF(AND($C$9=1,$C$6+$C$7+$C$8=0,$C$10=3),"ДА","НЕТ")</f>
        <v>НЕТ</v>
      </c>
      <c r="J12" s="335"/>
      <c r="K12" s="478">
        <f>IF(I12="ДА",($C$4+$C$5+#REF!+#REF!+#REF!+#REF!)*J12,0)</f>
        <v>0</v>
      </c>
      <c r="L12" s="268"/>
    </row>
    <row r="13" spans="1:12">
      <c r="A13" s="408"/>
      <c r="B13" s="420" t="s">
        <v>362</v>
      </c>
      <c r="C13" s="464">
        <v>0</v>
      </c>
      <c r="D13" s="427" t="s">
        <v>287</v>
      </c>
      <c r="E13" s="428" t="s">
        <v>255</v>
      </c>
      <c r="F13" s="1247"/>
      <c r="G13" s="789"/>
      <c r="H13" s="268"/>
      <c r="L13" s="268"/>
    </row>
    <row r="14" spans="1:12">
      <c r="A14" s="408"/>
      <c r="B14" s="420" t="s">
        <v>466</v>
      </c>
      <c r="C14" s="464">
        <v>0</v>
      </c>
      <c r="D14" s="427" t="s">
        <v>287</v>
      </c>
      <c r="E14" s="428" t="s">
        <v>255</v>
      </c>
      <c r="F14" s="1247"/>
      <c r="G14" s="789"/>
      <c r="H14" s="268"/>
      <c r="L14" s="268"/>
    </row>
    <row r="15" spans="1:12" ht="12" thickBot="1">
      <c r="A15" s="408"/>
      <c r="B15" s="517" t="s">
        <v>523</v>
      </c>
      <c r="C15" s="516">
        <v>0</v>
      </c>
      <c r="D15" s="629" t="s">
        <v>287</v>
      </c>
      <c r="E15" s="519" t="s">
        <v>255</v>
      </c>
      <c r="F15" s="1247"/>
      <c r="G15" s="429"/>
      <c r="H15" s="268"/>
      <c r="L15" s="268"/>
    </row>
    <row r="16" spans="1:12">
      <c r="A16" s="408"/>
      <c r="B16" s="410" t="s">
        <v>147</v>
      </c>
      <c r="C16" s="467">
        <v>0</v>
      </c>
      <c r="D16" s="1249" t="s">
        <v>686</v>
      </c>
      <c r="E16" s="1250"/>
      <c r="F16" s="1251"/>
      <c r="G16" s="429"/>
      <c r="H16" s="268"/>
      <c r="L16" s="268"/>
    </row>
    <row r="17" spans="1:12">
      <c r="A17" s="408"/>
      <c r="B17" s="420" t="s">
        <v>146</v>
      </c>
      <c r="C17" s="464">
        <v>0</v>
      </c>
      <c r="D17" s="1252" t="s">
        <v>687</v>
      </c>
      <c r="E17" s="1253"/>
      <c r="F17" s="1254"/>
      <c r="G17" s="789"/>
      <c r="H17" s="442"/>
      <c r="I17" s="442"/>
      <c r="J17" s="442"/>
      <c r="K17" s="442"/>
      <c r="L17" s="268"/>
    </row>
    <row r="18" spans="1:12" ht="12" thickBot="1">
      <c r="A18" s="408"/>
      <c r="B18" s="415" t="s">
        <v>143</v>
      </c>
      <c r="C18" s="466">
        <v>0</v>
      </c>
      <c r="D18" s="1255" t="s">
        <v>688</v>
      </c>
      <c r="E18" s="1256"/>
      <c r="F18" s="1257"/>
      <c r="G18" s="789"/>
      <c r="H18" s="442"/>
      <c r="I18" s="442"/>
      <c r="J18" s="442"/>
      <c r="K18" s="442"/>
    </row>
    <row r="19" spans="1:12" ht="12" thickBot="1">
      <c r="A19" s="408"/>
      <c r="B19" s="1235"/>
      <c r="C19" s="1235"/>
      <c r="D19" s="1235"/>
      <c r="E19" s="1235"/>
      <c r="F19" s="789"/>
      <c r="G19" s="438"/>
      <c r="H19" s="444"/>
      <c r="I19" s="444"/>
      <c r="J19" s="442"/>
      <c r="K19" s="442"/>
    </row>
    <row r="20" spans="1:12" ht="12.75">
      <c r="A20" s="408"/>
      <c r="B20" s="447" t="s">
        <v>5</v>
      </c>
      <c r="C20" s="448" t="s">
        <v>0</v>
      </c>
      <c r="D20" s="449" t="s">
        <v>4</v>
      </c>
      <c r="E20" s="450" t="s">
        <v>8</v>
      </c>
      <c r="F20" s="451"/>
      <c r="G20" s="438"/>
      <c r="H20" s="453"/>
      <c r="I20" s="789"/>
      <c r="J20" s="442"/>
      <c r="K20" s="442"/>
    </row>
    <row r="21" spans="1:12">
      <c r="A21" s="408"/>
      <c r="B21" s="452" t="s">
        <v>605</v>
      </c>
      <c r="C21" s="345">
        <f>IF(C14=1,C14*(C4+C5)*2,0)</f>
        <v>0</v>
      </c>
      <c r="D21" s="399">
        <v>1</v>
      </c>
      <c r="E21" s="347">
        <f>C21*D21</f>
        <v>0</v>
      </c>
      <c r="F21" s="348"/>
      <c r="G21" s="789"/>
      <c r="H21" s="442"/>
      <c r="I21" s="442"/>
      <c r="J21" s="442"/>
      <c r="K21" s="442"/>
    </row>
    <row r="22" spans="1:12" ht="11.25" customHeight="1">
      <c r="A22" s="408"/>
      <c r="B22" s="452" t="s">
        <v>563</v>
      </c>
      <c r="C22" s="345">
        <f>IF(C15=1,C15*(C4+C5)*2,0)</f>
        <v>0</v>
      </c>
      <c r="D22" s="399"/>
      <c r="E22" s="347">
        <f t="shared" ref="E22:E45" si="0">C22*D22</f>
        <v>0</v>
      </c>
      <c r="F22" s="348"/>
      <c r="G22" s="789"/>
      <c r="H22" s="442"/>
      <c r="I22" s="442"/>
      <c r="J22" s="442"/>
      <c r="K22" s="442"/>
      <c r="L22" s="268"/>
    </row>
    <row r="23" spans="1:12">
      <c r="A23" s="408"/>
      <c r="B23" s="452" t="s">
        <v>117</v>
      </c>
      <c r="C23" s="345">
        <f>IF((C12+C13)&gt;0,(C12+C13)*4*(C4+C5),0)</f>
        <v>0</v>
      </c>
      <c r="D23" s="399"/>
      <c r="E23" s="347">
        <f t="shared" si="0"/>
        <v>0</v>
      </c>
      <c r="F23" s="348"/>
      <c r="G23" s="789"/>
      <c r="H23" s="442"/>
      <c r="I23" s="442"/>
      <c r="J23" s="442"/>
      <c r="K23" s="442"/>
      <c r="L23" s="252"/>
    </row>
    <row r="24" spans="1:12">
      <c r="A24" s="408"/>
      <c r="B24" s="454" t="s">
        <v>792</v>
      </c>
      <c r="C24" s="350">
        <f>(C4+C5)*2</f>
        <v>0</v>
      </c>
      <c r="D24" s="356"/>
      <c r="E24" s="347">
        <f>C24*D24</f>
        <v>0</v>
      </c>
      <c r="F24" s="348"/>
      <c r="G24" s="348"/>
      <c r="H24" s="442"/>
      <c r="I24" s="442"/>
      <c r="J24" s="442"/>
      <c r="K24" s="442"/>
    </row>
    <row r="25" spans="1:12">
      <c r="A25" s="408"/>
      <c r="B25" s="452" t="s">
        <v>474</v>
      </c>
      <c r="C25" s="345">
        <f>(C5+C15)*C2*2</f>
        <v>0</v>
      </c>
      <c r="D25" s="399"/>
      <c r="E25" s="347">
        <f t="shared" si="0"/>
        <v>0</v>
      </c>
      <c r="F25" s="348"/>
      <c r="G25" s="348"/>
      <c r="H25" s="442"/>
      <c r="I25" s="442"/>
      <c r="J25" s="442"/>
      <c r="K25" s="442"/>
    </row>
    <row r="26" spans="1:12">
      <c r="A26" s="408"/>
      <c r="B26" s="454" t="s">
        <v>363</v>
      </c>
      <c r="C26" s="350">
        <f>C13*4*C2*(C4+C5)</f>
        <v>0</v>
      </c>
      <c r="D26" s="356"/>
      <c r="E26" s="347">
        <f t="shared" si="0"/>
        <v>0</v>
      </c>
      <c r="F26" s="348"/>
      <c r="G26" s="348"/>
      <c r="H26" s="442"/>
      <c r="I26" s="442"/>
      <c r="J26" s="442"/>
      <c r="K26" s="442"/>
    </row>
    <row r="27" spans="1:12">
      <c r="A27" s="408"/>
      <c r="B27" s="454" t="s">
        <v>118</v>
      </c>
      <c r="C27" s="350">
        <f>C2*(C12+C14)*(C4+C5)*2</f>
        <v>0</v>
      </c>
      <c r="D27" s="356"/>
      <c r="E27" s="347">
        <f t="shared" si="0"/>
        <v>0</v>
      </c>
      <c r="F27" s="348"/>
      <c r="G27" s="348"/>
      <c r="H27" s="442"/>
      <c r="I27" s="442"/>
      <c r="J27" s="442"/>
      <c r="K27" s="442"/>
    </row>
    <row r="28" spans="1:12">
      <c r="A28" s="408"/>
      <c r="B28" s="454" t="s">
        <v>480</v>
      </c>
      <c r="C28" s="350">
        <f>C4*C2*2</f>
        <v>0</v>
      </c>
      <c r="D28" s="356"/>
      <c r="E28" s="347">
        <f t="shared" si="0"/>
        <v>0</v>
      </c>
      <c r="F28" s="348"/>
      <c r="G28" s="348"/>
      <c r="H28" s="442"/>
      <c r="I28" s="442"/>
      <c r="J28" s="442"/>
      <c r="K28" s="442"/>
    </row>
    <row r="29" spans="1:12">
      <c r="A29" s="408"/>
      <c r="B29" s="454" t="s">
        <v>616</v>
      </c>
      <c r="C29" s="350">
        <f>C14*C2*(C4+C5)*2</f>
        <v>0</v>
      </c>
      <c r="D29" s="356"/>
      <c r="E29" s="347">
        <f t="shared" si="0"/>
        <v>0</v>
      </c>
      <c r="F29" s="348"/>
      <c r="G29" s="348"/>
      <c r="H29" s="442"/>
      <c r="I29" s="442"/>
      <c r="J29" s="442"/>
      <c r="K29" s="442"/>
    </row>
    <row r="30" spans="1:12">
      <c r="A30" s="408"/>
      <c r="B30" s="454" t="s">
        <v>467</v>
      </c>
      <c r="C30" s="350">
        <f>C15*C2*(C4+C5)*2</f>
        <v>0</v>
      </c>
      <c r="D30" s="356"/>
      <c r="E30" s="347">
        <f t="shared" si="0"/>
        <v>0</v>
      </c>
      <c r="F30" s="348"/>
      <c r="G30" s="348"/>
      <c r="H30" s="442"/>
      <c r="I30" s="442"/>
      <c r="J30" s="442"/>
      <c r="K30" s="442"/>
    </row>
    <row r="31" spans="1:12">
      <c r="A31" s="408"/>
      <c r="B31" s="454" t="s">
        <v>364</v>
      </c>
      <c r="C31" s="350">
        <f>C12*C2*(C4+C5)*2</f>
        <v>0</v>
      </c>
      <c r="D31" s="356"/>
      <c r="E31" s="347">
        <f t="shared" si="0"/>
        <v>0</v>
      </c>
      <c r="F31" s="348"/>
      <c r="G31" s="348"/>
      <c r="H31" s="442"/>
      <c r="I31" s="442"/>
      <c r="J31" s="442"/>
      <c r="K31" s="442"/>
    </row>
    <row r="32" spans="1:12">
      <c r="A32" s="408"/>
      <c r="B32" s="454" t="s">
        <v>365</v>
      </c>
      <c r="C32" s="350">
        <f>C13*C2*(C4+C5)*2</f>
        <v>0</v>
      </c>
      <c r="D32" s="356"/>
      <c r="E32" s="347">
        <f t="shared" si="0"/>
        <v>0</v>
      </c>
      <c r="F32" s="348"/>
      <c r="G32" s="348"/>
      <c r="H32" s="442"/>
      <c r="I32" s="442"/>
      <c r="J32" s="442"/>
      <c r="K32" s="442"/>
    </row>
    <row r="33" spans="1:11">
      <c r="A33" s="408"/>
      <c r="B33" s="452" t="s">
        <v>525</v>
      </c>
      <c r="C33" s="345">
        <f>C2*C4*2</f>
        <v>0</v>
      </c>
      <c r="D33" s="399"/>
      <c r="E33" s="347">
        <f t="shared" si="0"/>
        <v>0</v>
      </c>
      <c r="F33" s="348"/>
      <c r="G33" s="348"/>
      <c r="H33" s="442"/>
      <c r="I33" s="442"/>
      <c r="J33" s="442"/>
      <c r="K33" s="442"/>
    </row>
    <row r="34" spans="1:11">
      <c r="A34" s="408"/>
      <c r="B34" s="452" t="s">
        <v>451</v>
      </c>
      <c r="C34" s="345">
        <f>C2*C5*2</f>
        <v>0</v>
      </c>
      <c r="D34" s="399"/>
      <c r="E34" s="347">
        <f t="shared" si="0"/>
        <v>0</v>
      </c>
      <c r="F34" s="348"/>
      <c r="G34" s="348"/>
      <c r="H34" s="442"/>
      <c r="I34" s="442"/>
      <c r="J34" s="442"/>
      <c r="K34" s="442"/>
    </row>
    <row r="35" spans="1:11">
      <c r="A35" s="408"/>
      <c r="B35" s="454" t="s">
        <v>367</v>
      </c>
      <c r="C35" s="350">
        <f>C5*2</f>
        <v>0</v>
      </c>
      <c r="D35" s="356"/>
      <c r="E35" s="347">
        <f t="shared" si="0"/>
        <v>0</v>
      </c>
      <c r="F35" s="348"/>
      <c r="G35" s="348"/>
      <c r="H35" s="442"/>
      <c r="I35" s="442"/>
      <c r="J35" s="442"/>
      <c r="K35" s="442"/>
    </row>
    <row r="36" spans="1:11">
      <c r="A36" s="408"/>
      <c r="B36" s="454" t="s">
        <v>828</v>
      </c>
      <c r="C36" s="350">
        <f>(C4+C5)*2</f>
        <v>0</v>
      </c>
      <c r="D36" s="356"/>
      <c r="E36" s="347">
        <f t="shared" si="0"/>
        <v>0</v>
      </c>
      <c r="F36" s="348"/>
      <c r="G36" s="348"/>
      <c r="H36" s="442"/>
      <c r="I36" s="442"/>
      <c r="J36" s="442"/>
      <c r="K36" s="442"/>
    </row>
    <row r="37" spans="1:11">
      <c r="A37" s="408"/>
      <c r="B37" s="455" t="s">
        <v>454</v>
      </c>
      <c r="C37" s="402">
        <f>(C4+C5)*2</f>
        <v>0</v>
      </c>
      <c r="D37" s="356"/>
      <c r="E37" s="403">
        <f t="shared" si="0"/>
        <v>0</v>
      </c>
      <c r="F37" s="348"/>
      <c r="G37" s="348"/>
      <c r="H37" s="442"/>
      <c r="I37" s="442"/>
      <c r="J37" s="442"/>
      <c r="K37" s="442"/>
    </row>
    <row r="38" spans="1:11">
      <c r="A38" s="408"/>
      <c r="B38" s="455" t="s">
        <v>375</v>
      </c>
      <c r="C38" s="402">
        <f>(C6+C7)*(C4+C5)*2</f>
        <v>0</v>
      </c>
      <c r="D38" s="356"/>
      <c r="E38" s="403">
        <f t="shared" si="0"/>
        <v>0</v>
      </c>
      <c r="F38" s="348"/>
      <c r="G38" s="348"/>
      <c r="H38" s="442"/>
      <c r="I38" s="442"/>
      <c r="J38" s="442"/>
      <c r="K38" s="442"/>
    </row>
    <row r="39" spans="1:11">
      <c r="A39" s="408"/>
      <c r="B39" s="455" t="s">
        <v>495</v>
      </c>
      <c r="C39" s="402">
        <f>C7*C5*2</f>
        <v>0</v>
      </c>
      <c r="D39" s="356"/>
      <c r="E39" s="403">
        <f t="shared" si="0"/>
        <v>0</v>
      </c>
      <c r="F39" s="348"/>
      <c r="G39" s="348"/>
      <c r="H39" s="442"/>
      <c r="I39" s="442"/>
      <c r="J39" s="442"/>
      <c r="K39" s="442"/>
    </row>
    <row r="40" spans="1:11" hidden="1">
      <c r="A40" s="408"/>
      <c r="B40" s="455" t="s">
        <v>528</v>
      </c>
      <c r="C40" s="402">
        <f>C4*2</f>
        <v>0</v>
      </c>
      <c r="D40" s="356"/>
      <c r="E40" s="403">
        <f t="shared" si="0"/>
        <v>0</v>
      </c>
      <c r="F40" s="348"/>
      <c r="G40" s="348"/>
      <c r="H40" s="442"/>
      <c r="I40" s="442"/>
      <c r="J40" s="442"/>
      <c r="K40" s="442"/>
    </row>
    <row r="41" spans="1:11">
      <c r="A41" s="408"/>
      <c r="B41" s="455" t="s">
        <v>380</v>
      </c>
      <c r="C41" s="402">
        <f>C9*C5*2</f>
        <v>0</v>
      </c>
      <c r="D41" s="356"/>
      <c r="E41" s="403">
        <f t="shared" si="0"/>
        <v>0</v>
      </c>
      <c r="F41" s="348"/>
      <c r="G41" s="348"/>
      <c r="H41" s="442"/>
      <c r="I41" s="442"/>
      <c r="J41" s="442"/>
      <c r="K41" s="442"/>
    </row>
    <row r="42" spans="1:11">
      <c r="A42" s="408"/>
      <c r="B42" s="455" t="s">
        <v>529</v>
      </c>
      <c r="C42" s="402">
        <f>(C9+C8)*(C4+C5)*2</f>
        <v>0</v>
      </c>
      <c r="D42" s="356"/>
      <c r="E42" s="403">
        <f t="shared" si="0"/>
        <v>0</v>
      </c>
      <c r="F42" s="348"/>
      <c r="G42" s="348"/>
      <c r="H42" s="442"/>
      <c r="I42" s="442"/>
      <c r="J42" s="442"/>
      <c r="K42" s="442"/>
    </row>
    <row r="43" spans="1:11">
      <c r="A43" s="408"/>
      <c r="B43" s="154" t="s">
        <v>145</v>
      </c>
      <c r="C43" s="402">
        <f>C17</f>
        <v>0</v>
      </c>
      <c r="D43" s="724"/>
      <c r="E43" s="403">
        <f t="shared" si="0"/>
        <v>0</v>
      </c>
      <c r="F43" s="348"/>
      <c r="G43" s="348"/>
      <c r="H43" s="442"/>
      <c r="I43" s="442"/>
      <c r="J43" s="442"/>
      <c r="K43" s="442"/>
    </row>
    <row r="44" spans="1:11">
      <c r="A44" s="408"/>
      <c r="B44" s="154" t="s">
        <v>148</v>
      </c>
      <c r="C44" s="402">
        <f>C16</f>
        <v>0</v>
      </c>
      <c r="D44" s="724"/>
      <c r="E44" s="403">
        <f t="shared" si="0"/>
        <v>0</v>
      </c>
      <c r="F44" s="348"/>
      <c r="G44" s="348"/>
      <c r="H44" s="442"/>
      <c r="I44" s="442"/>
      <c r="J44" s="442"/>
      <c r="K44" s="442"/>
    </row>
    <row r="45" spans="1:11" ht="12" thickBot="1">
      <c r="A45" s="408"/>
      <c r="B45" s="30" t="s">
        <v>689</v>
      </c>
      <c r="C45" s="405">
        <f>C18</f>
        <v>0</v>
      </c>
      <c r="D45" s="823"/>
      <c r="E45" s="407">
        <f t="shared" si="0"/>
        <v>0</v>
      </c>
      <c r="F45" s="348"/>
      <c r="G45" s="348"/>
      <c r="H45" s="442"/>
      <c r="I45" s="442"/>
      <c r="J45" s="442"/>
      <c r="K45" s="442"/>
    </row>
    <row r="46" spans="1:11" ht="13.5" thickBot="1">
      <c r="A46" s="408"/>
      <c r="B46" s="442"/>
      <c r="C46" s="442"/>
      <c r="D46" s="458" t="s">
        <v>9</v>
      </c>
      <c r="E46" s="822">
        <f>SUMIF(E21:E45,"&gt;0",E21:E45)</f>
        <v>0</v>
      </c>
      <c r="F46" s="460"/>
      <c r="G46" s="348"/>
      <c r="H46" s="442"/>
      <c r="I46" s="442"/>
      <c r="J46" s="442"/>
      <c r="K46" s="442"/>
    </row>
    <row r="47" spans="1:11">
      <c r="A47" s="408"/>
      <c r="B47" s="442"/>
      <c r="C47" s="442"/>
      <c r="D47" s="442"/>
      <c r="E47" s="442"/>
      <c r="F47" s="442"/>
      <c r="G47" s="348"/>
      <c r="H47" s="442"/>
      <c r="I47" s="442"/>
      <c r="J47" s="442"/>
      <c r="K47" s="442"/>
    </row>
    <row r="48" spans="1:11">
      <c r="A48" s="408"/>
      <c r="B48" s="442"/>
      <c r="C48" s="442"/>
      <c r="D48" s="442"/>
      <c r="E48" s="442"/>
      <c r="F48" s="442"/>
      <c r="G48" s="348"/>
      <c r="H48" s="442"/>
      <c r="I48" s="442"/>
      <c r="J48" s="442"/>
      <c r="K48" s="442"/>
    </row>
    <row r="49" spans="1:11">
      <c r="A49" s="408"/>
      <c r="B49" s="442"/>
      <c r="C49" s="442"/>
      <c r="D49" s="442"/>
      <c r="E49" s="442"/>
      <c r="F49" s="442"/>
      <c r="G49" s="348"/>
      <c r="H49" s="442"/>
      <c r="I49" s="442"/>
      <c r="J49" s="442"/>
      <c r="K49" s="442"/>
    </row>
    <row r="50" spans="1:11">
      <c r="A50" s="408"/>
      <c r="B50" s="408"/>
      <c r="C50" s="408"/>
      <c r="D50" s="408"/>
      <c r="E50" s="408"/>
      <c r="F50" s="408"/>
      <c r="G50" s="348"/>
      <c r="H50" s="442"/>
      <c r="I50" s="442"/>
      <c r="J50" s="442"/>
      <c r="K50" s="442"/>
    </row>
    <row r="51" spans="1:11">
      <c r="A51" s="408"/>
      <c r="G51" s="348"/>
      <c r="H51" s="442"/>
      <c r="I51" s="442"/>
      <c r="J51" s="442"/>
      <c r="K51" s="442"/>
    </row>
    <row r="52" spans="1:11">
      <c r="A52" s="408"/>
      <c r="G52" s="348"/>
      <c r="H52" s="442"/>
      <c r="I52" s="442"/>
      <c r="J52" s="442"/>
      <c r="K52" s="444"/>
    </row>
    <row r="53" spans="1:11">
      <c r="A53" s="408"/>
      <c r="G53" s="348"/>
      <c r="H53" s="442"/>
      <c r="I53" s="442"/>
      <c r="J53" s="442"/>
      <c r="K53" s="442"/>
    </row>
    <row r="54" spans="1:11">
      <c r="A54" s="408"/>
      <c r="G54" s="348"/>
      <c r="H54" s="408"/>
      <c r="I54" s="408"/>
      <c r="J54" s="408"/>
      <c r="K54" s="408"/>
    </row>
    <row r="55" spans="1:11">
      <c r="A55" s="408"/>
      <c r="G55" s="460"/>
      <c r="H55" s="408"/>
      <c r="I55" s="408"/>
      <c r="J55" s="408"/>
      <c r="K55" s="408"/>
    </row>
    <row r="56" spans="1:11">
      <c r="A56" s="408"/>
      <c r="G56" s="442"/>
    </row>
    <row r="57" spans="1:11">
      <c r="A57" s="408"/>
      <c r="G57" s="442"/>
    </row>
    <row r="58" spans="1:11">
      <c r="A58" s="408"/>
      <c r="G58" s="442"/>
    </row>
    <row r="59" spans="1:11">
      <c r="A59" s="408"/>
      <c r="G59" s="408"/>
    </row>
    <row r="60" spans="1:11">
      <c r="A60" s="408"/>
      <c r="G60" s="408"/>
    </row>
  </sheetData>
  <sheetProtection algorithmName="SHA-512" hashValue="l/reoI3EsDK3lyfuoFGG4z7XaS47ikFnIm/1FXoxS4iuInP61Rv2DeGT+otbeA0Y6M3+7srGDeGVQb3Fhm9/wg==" saltValue="eo0ADO1RrwasUpByar1Sqg==" spinCount="100000" sheet="1" objects="1" scenarios="1"/>
  <mergeCells count="9">
    <mergeCell ref="D18:F18"/>
    <mergeCell ref="B19:E19"/>
    <mergeCell ref="D4:F5"/>
    <mergeCell ref="F6:F9"/>
    <mergeCell ref="B1:E1"/>
    <mergeCell ref="D2:F3"/>
    <mergeCell ref="F12:F15"/>
    <mergeCell ref="D16:F16"/>
    <mergeCell ref="D17:F17"/>
  </mergeCells>
  <conditionalFormatting sqref="I3:I12">
    <cfRule type="cellIs" dxfId="644" priority="11" operator="equal">
      <formula>"ДА"</formula>
    </cfRule>
    <cfRule type="cellIs" dxfId="643" priority="12" operator="equal">
      <formula>"НЕТ"</formula>
    </cfRule>
  </conditionalFormatting>
  <conditionalFormatting sqref="I3:I12">
    <cfRule type="colorScale" priority="1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2 C21:E23 C25:E45">
    <cfRule type="cellIs" dxfId="642" priority="10" operator="greaterThan">
      <formula>0</formula>
    </cfRule>
  </conditionalFormatting>
  <conditionalFormatting sqref="E46">
    <cfRule type="cellIs" dxfId="641" priority="8" operator="greaterThan">
      <formula>0</formula>
    </cfRule>
    <cfRule type="cellIs" dxfId="640" priority="9" operator="greaterThan">
      <formula>0</formula>
    </cfRule>
  </conditionalFormatting>
  <conditionalFormatting sqref="C2:C18">
    <cfRule type="cellIs" dxfId="639" priority="6" operator="greaterThan">
      <formula>0</formula>
    </cfRule>
  </conditionalFormatting>
  <conditionalFormatting sqref="C24:E24">
    <cfRule type="cellIs" dxfId="638" priority="3" operator="greaterThan">
      <formula>0</formula>
    </cfRule>
  </conditionalFormatting>
  <conditionalFormatting sqref="C43:C45">
    <cfRule type="cellIs" dxfId="637" priority="2" operator="greater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32"/>
  <sheetViews>
    <sheetView zoomScale="115" zoomScaleNormal="115" workbookViewId="0">
      <selection activeCell="B3" sqref="B3:B10"/>
    </sheetView>
  </sheetViews>
  <sheetFormatPr defaultRowHeight="11.25"/>
  <cols>
    <col min="1" max="1" width="59.83203125" customWidth="1"/>
    <col min="2" max="2" width="17.5" bestFit="1" customWidth="1"/>
    <col min="3" max="3" width="11.1640625" customWidth="1"/>
    <col min="4" max="4" width="12.1640625" customWidth="1"/>
    <col min="5" max="5" width="12.5" customWidth="1"/>
    <col min="6" max="6" width="3.5" customWidth="1"/>
    <col min="12" max="12" width="13.33203125" customWidth="1"/>
  </cols>
  <sheetData>
    <row r="1" spans="1:12" ht="31.5" customHeight="1" thickBot="1">
      <c r="A1" s="1057" t="s">
        <v>577</v>
      </c>
      <c r="B1" s="1068"/>
      <c r="C1" s="1068"/>
      <c r="D1" s="1068"/>
      <c r="E1" s="1069"/>
    </row>
    <row r="2" spans="1:12" ht="14.25">
      <c r="A2" s="8" t="s">
        <v>3</v>
      </c>
      <c r="B2" s="12"/>
      <c r="C2" s="13"/>
      <c r="D2" s="13"/>
      <c r="E2" s="14"/>
      <c r="G2" s="1059" t="s">
        <v>122</v>
      </c>
      <c r="H2" s="1060"/>
      <c r="I2" s="1060"/>
      <c r="J2" s="1060"/>
      <c r="K2" s="1060"/>
      <c r="L2" s="1061"/>
    </row>
    <row r="3" spans="1:12" ht="12" thickBot="1">
      <c r="A3" s="9" t="s">
        <v>10</v>
      </c>
      <c r="B3" s="871">
        <v>1.5</v>
      </c>
      <c r="C3" s="13"/>
      <c r="D3" s="13"/>
      <c r="E3" s="14"/>
      <c r="G3" s="1062"/>
      <c r="H3" s="1063"/>
      <c r="I3" s="1063"/>
      <c r="J3" s="1063"/>
      <c r="K3" s="1063"/>
      <c r="L3" s="1064"/>
    </row>
    <row r="4" spans="1:12" ht="12" thickBot="1">
      <c r="A4" s="106" t="s">
        <v>1</v>
      </c>
      <c r="B4" s="873">
        <v>1</v>
      </c>
      <c r="C4" s="13"/>
      <c r="D4" s="13"/>
      <c r="E4" s="14"/>
    </row>
    <row r="5" spans="1:12" ht="12" thickBot="1">
      <c r="A5" s="107" t="s">
        <v>123</v>
      </c>
      <c r="B5" s="874">
        <v>6</v>
      </c>
      <c r="C5" s="126"/>
      <c r="D5" s="13"/>
      <c r="E5" s="14"/>
    </row>
    <row r="6" spans="1:12">
      <c r="A6" s="108" t="s">
        <v>102</v>
      </c>
      <c r="B6" s="874">
        <v>1</v>
      </c>
      <c r="C6" s="13" t="s">
        <v>101</v>
      </c>
      <c r="D6" s="13"/>
      <c r="E6" s="14"/>
    </row>
    <row r="7" spans="1:12">
      <c r="A7" s="151" t="s">
        <v>571</v>
      </c>
      <c r="B7" s="875">
        <v>1</v>
      </c>
      <c r="C7" s="13"/>
      <c r="D7" s="13"/>
      <c r="E7" s="14"/>
    </row>
    <row r="8" spans="1:12">
      <c r="A8" s="9" t="s">
        <v>130</v>
      </c>
      <c r="B8" s="875">
        <v>1</v>
      </c>
      <c r="C8" s="13"/>
      <c r="D8" s="13"/>
      <c r="E8" s="14"/>
    </row>
    <row r="9" spans="1:12" ht="12" thickBot="1">
      <c r="A9" s="9" t="s">
        <v>568</v>
      </c>
      <c r="B9" s="876">
        <v>1</v>
      </c>
      <c r="C9" s="13"/>
      <c r="D9" s="13"/>
      <c r="E9" s="14"/>
    </row>
    <row r="10" spans="1:12" ht="12" thickBot="1">
      <c r="A10" s="10" t="s">
        <v>99</v>
      </c>
      <c r="B10" s="872">
        <v>5</v>
      </c>
      <c r="C10" s="13"/>
      <c r="D10" s="13"/>
      <c r="E10" s="14"/>
    </row>
    <row r="11" spans="1:12" ht="12" thickBot="1">
      <c r="A11" s="18" t="s">
        <v>131</v>
      </c>
      <c r="B11" s="19"/>
      <c r="C11" s="19"/>
      <c r="D11" s="19"/>
      <c r="E11" s="104"/>
    </row>
    <row r="12" spans="1:12">
      <c r="A12" s="20"/>
      <c r="B12" s="21" t="s">
        <v>12</v>
      </c>
      <c r="C12" s="22" t="s">
        <v>4</v>
      </c>
      <c r="D12" s="22" t="s">
        <v>13</v>
      </c>
      <c r="E12" s="12"/>
    </row>
    <row r="13" spans="1:12">
      <c r="A13" s="23" t="s">
        <v>230</v>
      </c>
      <c r="B13" s="24"/>
      <c r="C13" s="25"/>
      <c r="D13" s="90">
        <f>B5</f>
        <v>6</v>
      </c>
      <c r="E13" s="15">
        <f t="shared" ref="E13:E27" si="0">D13*C13</f>
        <v>0</v>
      </c>
    </row>
    <row r="14" spans="1:12">
      <c r="A14" s="105" t="s">
        <v>103</v>
      </c>
      <c r="B14" s="123"/>
      <c r="C14" s="90"/>
      <c r="D14" s="90">
        <f>B3*B5</f>
        <v>9</v>
      </c>
      <c r="E14" s="15">
        <f t="shared" si="0"/>
        <v>0</v>
      </c>
    </row>
    <row r="15" spans="1:12">
      <c r="A15" s="23" t="s">
        <v>14</v>
      </c>
      <c r="B15" s="24"/>
      <c r="C15" s="25"/>
      <c r="D15" s="90">
        <f>B3*B5</f>
        <v>9</v>
      </c>
      <c r="E15" s="15">
        <f t="shared" si="0"/>
        <v>0</v>
      </c>
    </row>
    <row r="16" spans="1:12">
      <c r="A16" s="23" t="s">
        <v>19</v>
      </c>
      <c r="B16" s="24" t="s">
        <v>100</v>
      </c>
      <c r="C16" s="29"/>
      <c r="D16" s="90">
        <f>B3*B5</f>
        <v>9</v>
      </c>
      <c r="E16" s="15">
        <f t="shared" si="0"/>
        <v>0</v>
      </c>
    </row>
    <row r="17" spans="1:6">
      <c r="A17" s="23" t="s">
        <v>18</v>
      </c>
      <c r="B17" s="24"/>
      <c r="C17" s="25"/>
      <c r="D17" s="90">
        <f>IF(B6=1,B3+2*B4+2*0.1,2*B4)*B5</f>
        <v>22.200000000000003</v>
      </c>
      <c r="E17" s="15">
        <f t="shared" si="0"/>
        <v>0</v>
      </c>
    </row>
    <row r="18" spans="1:6">
      <c r="A18" s="23" t="s">
        <v>565</v>
      </c>
      <c r="B18" s="24"/>
      <c r="C18" s="25"/>
      <c r="D18" s="90">
        <f>(B3-0.002)*B5</f>
        <v>8.9879999999999995</v>
      </c>
      <c r="E18" s="15">
        <f t="shared" si="0"/>
        <v>0</v>
      </c>
    </row>
    <row r="19" spans="1:6" ht="12.75" customHeight="1">
      <c r="A19" s="23" t="s">
        <v>104</v>
      </c>
      <c r="B19" s="24"/>
      <c r="C19" s="25"/>
      <c r="D19" s="90">
        <f>4*B5</f>
        <v>24</v>
      </c>
      <c r="E19" s="15">
        <f t="shared" si="0"/>
        <v>0</v>
      </c>
    </row>
    <row r="20" spans="1:6">
      <c r="A20" s="52" t="s">
        <v>105</v>
      </c>
      <c r="B20" s="282"/>
      <c r="C20" s="282"/>
      <c r="D20" s="283">
        <f>IF(B6=1,B3*B5,0)</f>
        <v>9</v>
      </c>
      <c r="E20" s="15">
        <f t="shared" si="0"/>
        <v>0</v>
      </c>
    </row>
    <row r="21" spans="1:6">
      <c r="A21" s="52" t="s">
        <v>106</v>
      </c>
      <c r="B21" s="282"/>
      <c r="C21" s="282"/>
      <c r="D21" s="283">
        <f>IF(B6=1,B5,0)</f>
        <v>6</v>
      </c>
      <c r="E21" s="15">
        <f t="shared" si="0"/>
        <v>0</v>
      </c>
    </row>
    <row r="22" spans="1:6">
      <c r="A22" s="52" t="s">
        <v>107</v>
      </c>
      <c r="B22" s="282"/>
      <c r="C22" s="282"/>
      <c r="D22" s="283">
        <f>(B4-0.04)*2*B5</f>
        <v>11.52</v>
      </c>
      <c r="E22" s="15">
        <f t="shared" si="0"/>
        <v>0</v>
      </c>
    </row>
    <row r="23" spans="1:6">
      <c r="A23" s="23" t="s">
        <v>20</v>
      </c>
      <c r="B23" s="24"/>
      <c r="C23" s="29"/>
      <c r="D23" s="90">
        <f>B3*B5</f>
        <v>9</v>
      </c>
      <c r="E23" s="15">
        <f t="shared" si="0"/>
        <v>0</v>
      </c>
    </row>
    <row r="24" spans="1:6">
      <c r="A24" s="23" t="s">
        <v>566</v>
      </c>
      <c r="B24" s="24"/>
      <c r="C24" s="29"/>
      <c r="D24" s="90">
        <f>B5</f>
        <v>6</v>
      </c>
      <c r="E24" s="15">
        <f t="shared" si="0"/>
        <v>0</v>
      </c>
    </row>
    <row r="25" spans="1:6">
      <c r="A25" s="23" t="s">
        <v>570</v>
      </c>
      <c r="B25" s="127"/>
      <c r="C25" s="128"/>
      <c r="D25" s="129">
        <f>B7</f>
        <v>1</v>
      </c>
      <c r="E25" s="15">
        <f t="shared" si="0"/>
        <v>0</v>
      </c>
    </row>
    <row r="26" spans="1:6">
      <c r="A26" s="23" t="s">
        <v>569</v>
      </c>
      <c r="B26" s="127"/>
      <c r="C26" s="128"/>
      <c r="D26" s="129">
        <f>B8</f>
        <v>1</v>
      </c>
      <c r="E26" s="15">
        <f t="shared" si="0"/>
        <v>0</v>
      </c>
    </row>
    <row r="27" spans="1:6" ht="12" thickBot="1">
      <c r="A27" s="24" t="s">
        <v>567</v>
      </c>
      <c r="B27" s="127"/>
      <c r="C27" s="128"/>
      <c r="D27" s="129">
        <f>B9</f>
        <v>1</v>
      </c>
      <c r="E27" s="15">
        <f t="shared" si="0"/>
        <v>0</v>
      </c>
    </row>
    <row r="28" spans="1:6" ht="12" thickBot="1">
      <c r="A28" s="1070" t="s">
        <v>22</v>
      </c>
      <c r="B28" s="1071"/>
      <c r="C28" s="1071"/>
      <c r="D28" s="1071"/>
      <c r="E28" s="1072"/>
      <c r="F28" s="16"/>
    </row>
    <row r="29" spans="1:6">
      <c r="A29" s="1073" t="s">
        <v>35</v>
      </c>
      <c r="B29" s="1074"/>
      <c r="C29" s="1074"/>
      <c r="D29" s="1074"/>
      <c r="E29" s="1075"/>
      <c r="F29" s="16"/>
    </row>
    <row r="30" spans="1:6" ht="12" thickBot="1">
      <c r="A30" s="30" t="s">
        <v>25</v>
      </c>
      <c r="B30" s="31">
        <v>50</v>
      </c>
      <c r="C30" s="32"/>
      <c r="D30" s="33">
        <f>B10*(B3+2*B4+2*0.1)</f>
        <v>18.5</v>
      </c>
      <c r="E30" s="132">
        <f>D30*C30</f>
        <v>0</v>
      </c>
      <c r="F30" s="16"/>
    </row>
    <row r="31" spans="1:6">
      <c r="D31" s="285" t="s">
        <v>116</v>
      </c>
      <c r="E31" s="109">
        <f>SUM(E13:E30)</f>
        <v>0</v>
      </c>
    </row>
    <row r="32" spans="1:6">
      <c r="D32" s="284"/>
    </row>
  </sheetData>
  <sheetProtection algorithmName="SHA-512" hashValue="mQXpAP00hcVuTE5ewQBGwSz0xS4b3tZYnkqS4zVztn5ow8JcLopWQyKW12XQWfpeJTl9nUvicjdwLewykkZ78w==" saltValue="4CoQl3cBNYgge/CZIltXSw==" spinCount="100000" sheet="1" objects="1" scenarios="1"/>
  <mergeCells count="4">
    <mergeCell ref="A1:E1"/>
    <mergeCell ref="G2:L3"/>
    <mergeCell ref="A28:E28"/>
    <mergeCell ref="A29:E29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O83"/>
  <sheetViews>
    <sheetView zoomScale="106" zoomScaleNormal="106" workbookViewId="0">
      <pane ySplit="22" topLeftCell="A41" activePane="bottomLeft" state="frozen"/>
      <selection pane="bottomLeft" activeCell="F49" sqref="F49"/>
    </sheetView>
  </sheetViews>
  <sheetFormatPr defaultRowHeight="11.25"/>
  <cols>
    <col min="2" max="2" width="59" customWidth="1"/>
    <col min="3" max="3" width="11" customWidth="1"/>
    <col min="4" max="4" width="15" customWidth="1"/>
    <col min="5" max="5" width="17.6640625" customWidth="1"/>
    <col min="6" max="6" width="24.5" customWidth="1"/>
    <col min="7" max="7" width="3.5" customWidth="1"/>
    <col min="8" max="8" width="43.5" customWidth="1"/>
    <col min="9" max="9" width="4.83203125" customWidth="1"/>
  </cols>
  <sheetData>
    <row r="1" spans="1:15" ht="54" customHeight="1" thickBot="1">
      <c r="A1" s="408"/>
      <c r="B1" s="1236"/>
      <c r="C1" s="1237"/>
      <c r="D1" s="1237"/>
      <c r="E1" s="408"/>
      <c r="F1" s="408"/>
      <c r="G1" s="408"/>
      <c r="H1" s="408"/>
      <c r="I1" s="408"/>
      <c r="J1" s="408"/>
      <c r="K1" s="408"/>
      <c r="L1" s="408"/>
    </row>
    <row r="2" spans="1:15" ht="12" customHeight="1" thickBot="1">
      <c r="A2" s="408"/>
      <c r="B2" s="410" t="s">
        <v>10</v>
      </c>
      <c r="C2" s="461">
        <v>0</v>
      </c>
      <c r="D2" s="1238" t="s">
        <v>595</v>
      </c>
      <c r="E2" s="1239"/>
      <c r="F2" s="1240"/>
      <c r="G2" s="484"/>
      <c r="H2" s="412" t="s">
        <v>485</v>
      </c>
      <c r="I2" s="413" t="s">
        <v>604</v>
      </c>
      <c r="J2" s="479" t="s">
        <v>4</v>
      </c>
      <c r="K2" s="480" t="s">
        <v>8</v>
      </c>
      <c r="L2" s="485"/>
    </row>
    <row r="3" spans="1:15" ht="12.75" thickBot="1">
      <c r="A3" s="408"/>
      <c r="B3" s="415" t="s">
        <v>1</v>
      </c>
      <c r="C3" s="462">
        <v>0</v>
      </c>
      <c r="D3" s="1241"/>
      <c r="E3" s="1242"/>
      <c r="F3" s="1243"/>
      <c r="G3" s="484"/>
      <c r="H3" s="416" t="s">
        <v>372</v>
      </c>
      <c r="I3" s="417" t="str">
        <f>IF(AND($C$7+$C$8=1,$C$9+$C$10+$C$11+$C$12=0,$C$13=2),"ДА","НЕТ")</f>
        <v>НЕТ</v>
      </c>
      <c r="J3" s="321"/>
      <c r="K3" s="322">
        <f>IF(I3="ДА",($C$4+$C$5+$C$6)*J3,0)</f>
        <v>0</v>
      </c>
      <c r="L3" s="485"/>
    </row>
    <row r="4" spans="1:15" ht="12" customHeight="1">
      <c r="A4" s="408"/>
      <c r="B4" s="410" t="s">
        <v>530</v>
      </c>
      <c r="C4" s="467">
        <v>0</v>
      </c>
      <c r="D4" s="1238" t="s">
        <v>597</v>
      </c>
      <c r="E4" s="1239"/>
      <c r="F4" s="1240"/>
      <c r="G4" s="486"/>
      <c r="H4" s="419" t="s">
        <v>373</v>
      </c>
      <c r="I4" s="417" t="str">
        <f>IF(AND($C$7+$C$8=1,$C$9+$C$10+$C$11+$C$12=0,$C$13=2),"ДА","НЕТ")</f>
        <v>НЕТ</v>
      </c>
      <c r="J4" s="398"/>
      <c r="K4" s="322">
        <f t="shared" ref="K4:K21" si="0">IF(I4="ДА",($C$4+$C$5+$C$6)*J4,0)</f>
        <v>0</v>
      </c>
      <c r="L4" s="487"/>
    </row>
    <row r="5" spans="1:15" ht="12">
      <c r="A5" s="408"/>
      <c r="B5" s="422" t="s">
        <v>396</v>
      </c>
      <c r="C5" s="465"/>
      <c r="D5" s="1258"/>
      <c r="E5" s="1244"/>
      <c r="F5" s="1245"/>
      <c r="G5" s="442"/>
      <c r="H5" s="419" t="s">
        <v>374</v>
      </c>
      <c r="I5" s="417" t="str">
        <f>IF(AND($C$7+$C$8=1,$C$9+$C$10+$C$11+$C$12=0,$C$13=2),"ДА","НЕТ")</f>
        <v>НЕТ</v>
      </c>
      <c r="J5" s="398"/>
      <c r="K5" s="322">
        <f t="shared" si="0"/>
        <v>0</v>
      </c>
      <c r="L5" s="408"/>
    </row>
    <row r="6" spans="1:15" ht="12.75" thickBot="1">
      <c r="A6" s="408"/>
      <c r="B6" s="443" t="s">
        <v>392</v>
      </c>
      <c r="C6" s="469">
        <v>0</v>
      </c>
      <c r="D6" s="1258"/>
      <c r="E6" s="1244"/>
      <c r="F6" s="1245"/>
      <c r="G6" s="488"/>
      <c r="H6" s="421" t="s">
        <v>376</v>
      </c>
      <c r="I6" s="417" t="str">
        <f>IF(AND($C$7+$C$8=1,$C$9+$C$10+$C$11+$C$12=0,$C$13=3),"ДА","НЕТ")</f>
        <v>НЕТ</v>
      </c>
      <c r="J6" s="325"/>
      <c r="K6" s="322">
        <f t="shared" si="0"/>
        <v>0</v>
      </c>
      <c r="L6" s="489"/>
      <c r="M6" s="250"/>
      <c r="N6" s="250"/>
      <c r="O6" s="250"/>
    </row>
    <row r="7" spans="1:15" ht="12" customHeight="1">
      <c r="A7" s="408"/>
      <c r="B7" s="410" t="s">
        <v>521</v>
      </c>
      <c r="C7" s="467">
        <v>0</v>
      </c>
      <c r="D7" s="423" t="s">
        <v>287</v>
      </c>
      <c r="E7" s="424" t="s">
        <v>255</v>
      </c>
      <c r="F7" s="1246" t="s">
        <v>596</v>
      </c>
      <c r="G7" s="488"/>
      <c r="H7" s="419" t="s">
        <v>489</v>
      </c>
      <c r="I7" s="417" t="str">
        <f>IF(AND($C$9=1,$C$7+$C$8+$C$10+$C$11+$C$12=0,$C$13=1),"ДА","НЕТ")</f>
        <v>НЕТ</v>
      </c>
      <c r="J7" s="398"/>
      <c r="K7" s="322">
        <f t="shared" si="0"/>
        <v>0</v>
      </c>
      <c r="L7" s="489"/>
      <c r="M7" s="250"/>
      <c r="N7" s="250"/>
      <c r="O7" s="250"/>
    </row>
    <row r="8" spans="1:15" ht="12">
      <c r="A8" s="408"/>
      <c r="B8" s="422" t="s">
        <v>490</v>
      </c>
      <c r="C8" s="465"/>
      <c r="D8" s="427" t="s">
        <v>287</v>
      </c>
      <c r="E8" s="428" t="s">
        <v>255</v>
      </c>
      <c r="F8" s="1247"/>
      <c r="G8" s="442"/>
      <c r="H8" s="421" t="s">
        <v>486</v>
      </c>
      <c r="I8" s="417" t="str">
        <f>IF(AND($C$9=1,$C$7+$C$8+$C$10+$C$11+$C$12=0,$C$13=3),"ДА","НЕТ")</f>
        <v>НЕТ</v>
      </c>
      <c r="J8" s="325"/>
      <c r="K8" s="322">
        <f t="shared" si="0"/>
        <v>0</v>
      </c>
      <c r="L8" s="408"/>
    </row>
    <row r="9" spans="1:15" ht="12">
      <c r="A9" s="408"/>
      <c r="B9" s="420" t="s">
        <v>491</v>
      </c>
      <c r="C9" s="464">
        <v>0</v>
      </c>
      <c r="D9" s="427" t="s">
        <v>287</v>
      </c>
      <c r="E9" s="427" t="s">
        <v>255</v>
      </c>
      <c r="F9" s="1247"/>
      <c r="G9" s="442"/>
      <c r="H9" s="421" t="s">
        <v>487</v>
      </c>
      <c r="I9" s="417" t="str">
        <f>IF(AND($C$9=1,$C$7+$C$8+$C$10+$C$11+$C$12=0,$C$13=2),"ДА","НЕТ")</f>
        <v>НЕТ</v>
      </c>
      <c r="J9" s="325"/>
      <c r="K9" s="322">
        <f t="shared" si="0"/>
        <v>0</v>
      </c>
      <c r="L9" s="408"/>
    </row>
    <row r="10" spans="1:15" ht="12">
      <c r="A10" s="408"/>
      <c r="B10" s="422" t="s">
        <v>522</v>
      </c>
      <c r="C10" s="465">
        <v>0</v>
      </c>
      <c r="D10" s="425" t="s">
        <v>287</v>
      </c>
      <c r="E10" s="426" t="s">
        <v>255</v>
      </c>
      <c r="F10" s="1247"/>
      <c r="G10" s="442"/>
      <c r="H10" s="421" t="s">
        <v>488</v>
      </c>
      <c r="I10" s="417" t="str">
        <f>IF(AND($C$9=1,$C$7+$C$8+$C$10+$C$11+$C$12=0,$C$13=2),"ДА","НЕТ")</f>
        <v>НЕТ</v>
      </c>
      <c r="J10" s="325"/>
      <c r="K10" s="322">
        <f t="shared" si="0"/>
        <v>0</v>
      </c>
      <c r="L10" s="408"/>
    </row>
    <row r="11" spans="1:15" ht="12">
      <c r="A11" s="408"/>
      <c r="B11" s="422" t="s">
        <v>492</v>
      </c>
      <c r="C11" s="465">
        <v>0</v>
      </c>
      <c r="D11" s="427" t="s">
        <v>287</v>
      </c>
      <c r="E11" s="428" t="s">
        <v>255</v>
      </c>
      <c r="F11" s="1247"/>
      <c r="G11" s="444"/>
      <c r="H11" s="421" t="s">
        <v>494</v>
      </c>
      <c r="I11" s="417" t="str">
        <f>IF(AND($C$9=1,$C$7+$C$8+$C$10+$C$11+$C$12=0,$C$13=2),"ДА","НЕТ")</f>
        <v>НЕТ</v>
      </c>
      <c r="J11" s="325"/>
      <c r="K11" s="322">
        <f t="shared" si="0"/>
        <v>0</v>
      </c>
      <c r="L11" s="492"/>
      <c r="M11" s="71"/>
      <c r="N11" s="71"/>
    </row>
    <row r="12" spans="1:15" ht="12.75" thickBot="1">
      <c r="A12" s="408"/>
      <c r="B12" s="493" t="s">
        <v>493</v>
      </c>
      <c r="C12" s="475">
        <v>0</v>
      </c>
      <c r="D12" s="494" t="s">
        <v>287</v>
      </c>
      <c r="E12" s="495" t="s">
        <v>255</v>
      </c>
      <c r="F12" s="1248"/>
      <c r="G12" s="496"/>
      <c r="H12" s="421" t="s">
        <v>626</v>
      </c>
      <c r="I12" s="417" t="str">
        <f>IF(AND($C$10=1,$C$8+$C$9+$C$7+$C$11+$C$12=0,$C$13=2),"ДА","НЕТ")</f>
        <v>НЕТ</v>
      </c>
      <c r="J12" s="325"/>
      <c r="K12" s="322">
        <f t="shared" si="0"/>
        <v>0</v>
      </c>
      <c r="L12" s="492"/>
      <c r="M12" s="71"/>
      <c r="N12" s="71"/>
    </row>
    <row r="13" spans="1:15" ht="12.75" thickBot="1">
      <c r="A13" s="408"/>
      <c r="B13" s="432" t="s">
        <v>589</v>
      </c>
      <c r="C13" s="468">
        <v>0</v>
      </c>
      <c r="D13" s="474" t="s">
        <v>619</v>
      </c>
      <c r="E13" s="437" t="s">
        <v>620</v>
      </c>
      <c r="F13" s="439" t="s">
        <v>621</v>
      </c>
      <c r="G13" s="496"/>
      <c r="H13" s="421" t="s">
        <v>518</v>
      </c>
      <c r="I13" s="417" t="str">
        <f>IF(AND($C$10=1,$C$8+$C$9+$C$7+$C$11+$C$12=0,$C$13=2),"ДА","НЕТ")</f>
        <v>НЕТ</v>
      </c>
      <c r="J13" s="325"/>
      <c r="K13" s="322">
        <f t="shared" si="0"/>
        <v>0</v>
      </c>
      <c r="L13" s="492"/>
      <c r="M13" s="71"/>
      <c r="N13" s="71"/>
    </row>
    <row r="14" spans="1:15" ht="12.75" thickBot="1">
      <c r="A14" s="408"/>
      <c r="B14" s="432" t="s">
        <v>722</v>
      </c>
      <c r="C14" s="468">
        <v>0</v>
      </c>
      <c r="D14" s="494" t="s">
        <v>287</v>
      </c>
      <c r="E14" s="495" t="s">
        <v>255</v>
      </c>
      <c r="F14" s="624"/>
      <c r="G14" s="442"/>
      <c r="H14" s="421" t="s">
        <v>519</v>
      </c>
      <c r="I14" s="417" t="str">
        <f>IF(AND($C$10=1,$C$8+$C$9+$C$7+$C$11+$C$12=0,$C$13=1),"ДА","НЕТ")</f>
        <v>НЕТ</v>
      </c>
      <c r="J14" s="325"/>
      <c r="K14" s="322">
        <f t="shared" si="0"/>
        <v>0</v>
      </c>
      <c r="L14" s="408"/>
    </row>
    <row r="15" spans="1:15" ht="12" customHeight="1" thickBot="1">
      <c r="A15" s="408"/>
      <c r="B15" s="432" t="s">
        <v>358</v>
      </c>
      <c r="C15" s="468">
        <v>0</v>
      </c>
      <c r="D15" s="436" t="s">
        <v>622</v>
      </c>
      <c r="E15" s="437" t="s">
        <v>623</v>
      </c>
      <c r="F15" s="624"/>
      <c r="G15" s="442"/>
      <c r="H15" s="419" t="s">
        <v>379</v>
      </c>
      <c r="I15" s="417" t="str">
        <f>IF(AND($C$11=1,$C$7+$C$9+$C$10+$C$8+$C$12=0,$C$13=2),"ДА","НЕТ")</f>
        <v>НЕТ</v>
      </c>
      <c r="J15" s="328"/>
      <c r="K15" s="322">
        <f t="shared" si="0"/>
        <v>0</v>
      </c>
      <c r="L15" s="408"/>
    </row>
    <row r="16" spans="1:15" ht="12">
      <c r="A16" s="408"/>
      <c r="B16" s="410" t="s">
        <v>397</v>
      </c>
      <c r="C16" s="467">
        <v>0</v>
      </c>
      <c r="D16" s="427" t="s">
        <v>287</v>
      </c>
      <c r="E16" s="428" t="s">
        <v>255</v>
      </c>
      <c r="F16" s="1259" t="s">
        <v>597</v>
      </c>
      <c r="G16" s="442"/>
      <c r="H16" s="416" t="s">
        <v>381</v>
      </c>
      <c r="I16" s="417" t="str">
        <f>IF(AND($C$11=1,$C$7+$C$9+$C$10+$C$8+$C$12=0,$C$13=1),"ДА","НЕТ")</f>
        <v>НЕТ</v>
      </c>
      <c r="J16" s="328"/>
      <c r="K16" s="322">
        <f t="shared" si="0"/>
        <v>0</v>
      </c>
      <c r="L16" s="408"/>
    </row>
    <row r="17" spans="1:12" ht="12.75" thickBot="1">
      <c r="A17" s="492"/>
      <c r="B17" s="415" t="s">
        <v>398</v>
      </c>
      <c r="C17" s="466">
        <v>0</v>
      </c>
      <c r="D17" s="490" t="s">
        <v>287</v>
      </c>
      <c r="E17" s="491" t="s">
        <v>255</v>
      </c>
      <c r="F17" s="1260"/>
      <c r="G17" s="442"/>
      <c r="H17" s="416" t="s">
        <v>382</v>
      </c>
      <c r="I17" s="417" t="str">
        <f>IF(AND($C$11=1,$C$7+$C$9+$C$10+$C$8+$C$12=0,$C$13=3),"ДА","НЕТ")</f>
        <v>НЕТ</v>
      </c>
      <c r="J17" s="328"/>
      <c r="K17" s="322">
        <f t="shared" si="0"/>
        <v>0</v>
      </c>
      <c r="L17" s="408"/>
    </row>
    <row r="18" spans="1:12" ht="12">
      <c r="A18" s="492"/>
      <c r="B18" s="410" t="s">
        <v>147</v>
      </c>
      <c r="C18" s="467">
        <v>0</v>
      </c>
      <c r="D18" s="1249" t="s">
        <v>686</v>
      </c>
      <c r="E18" s="1250"/>
      <c r="F18" s="1251"/>
      <c r="G18" s="442"/>
      <c r="H18" s="416" t="s">
        <v>383</v>
      </c>
      <c r="I18" s="417" t="str">
        <f>IF(AND($C$12=1,$C$7+$C$8+$C$9+$C$10+$C$11=0,$C$13=1),"ДА","НЕТ")</f>
        <v>НЕТ</v>
      </c>
      <c r="J18" s="328"/>
      <c r="K18" s="322">
        <f t="shared" si="0"/>
        <v>0</v>
      </c>
      <c r="L18" s="408"/>
    </row>
    <row r="19" spans="1:12" ht="12">
      <c r="A19" s="492"/>
      <c r="B19" s="420" t="s">
        <v>146</v>
      </c>
      <c r="C19" s="464">
        <v>0</v>
      </c>
      <c r="D19" s="1252" t="s">
        <v>687</v>
      </c>
      <c r="E19" s="1253"/>
      <c r="F19" s="1254"/>
      <c r="G19" s="442"/>
      <c r="H19" s="419" t="s">
        <v>384</v>
      </c>
      <c r="I19" s="417" t="str">
        <f>IF(AND($C$12=1,$C$7+$C$8+$C$9+$C$10+$C$11=0,$C$13=1),"ДА","НЕТ")</f>
        <v>НЕТ</v>
      </c>
      <c r="J19" s="328"/>
      <c r="K19" s="322">
        <f t="shared" si="0"/>
        <v>0</v>
      </c>
      <c r="L19" s="408"/>
    </row>
    <row r="20" spans="1:12" ht="12.75" thickBot="1">
      <c r="A20" s="492"/>
      <c r="B20" s="415" t="s">
        <v>143</v>
      </c>
      <c r="C20" s="466">
        <v>0</v>
      </c>
      <c r="D20" s="1255" t="s">
        <v>688</v>
      </c>
      <c r="E20" s="1256"/>
      <c r="F20" s="1257"/>
      <c r="G20" s="442"/>
      <c r="H20" s="416" t="s">
        <v>388</v>
      </c>
      <c r="I20" s="417" t="str">
        <f>IF(AND($C$12=1,$C$7+$C$8+$C$9+$C$10+$C$11=0,$C$13=2),"ДА","НЕТ")</f>
        <v>НЕТ</v>
      </c>
      <c r="J20" s="328"/>
      <c r="K20" s="322">
        <f t="shared" si="0"/>
        <v>0</v>
      </c>
      <c r="L20" s="408"/>
    </row>
    <row r="21" spans="1:12" ht="12.75" thickBot="1">
      <c r="A21" s="492"/>
      <c r="B21" s="411"/>
      <c r="C21" s="411"/>
      <c r="D21" s="411"/>
      <c r="E21" s="444"/>
      <c r="F21" s="444"/>
      <c r="G21" s="442"/>
      <c r="H21" s="440" t="s">
        <v>389</v>
      </c>
      <c r="I21" s="441" t="str">
        <f>IF(AND($C$12=1,$C$7+$C$8+$C$9+$C$10+$C$11=0,$C$13=2),"ДА","НЕТ")</f>
        <v>НЕТ</v>
      </c>
      <c r="J21" s="335"/>
      <c r="K21" s="478">
        <f t="shared" si="0"/>
        <v>0</v>
      </c>
      <c r="L21" s="408"/>
    </row>
    <row r="22" spans="1:12" ht="12" thickBot="1">
      <c r="A22" s="408"/>
      <c r="B22" s="411"/>
      <c r="C22" s="411"/>
      <c r="D22" s="411"/>
      <c r="E22" s="444"/>
      <c r="F22" s="444"/>
      <c r="G22" s="442"/>
      <c r="H22" s="442"/>
      <c r="I22" s="442"/>
      <c r="J22" s="442"/>
      <c r="K22" s="442"/>
      <c r="L22" s="408"/>
    </row>
    <row r="23" spans="1:12" ht="13.5" thickBot="1">
      <c r="A23" s="408"/>
      <c r="B23" s="497" t="s">
        <v>5</v>
      </c>
      <c r="C23" s="498" t="s">
        <v>0</v>
      </c>
      <c r="D23" s="499" t="s">
        <v>4</v>
      </c>
      <c r="E23" s="500" t="s">
        <v>8</v>
      </c>
      <c r="F23" s="451"/>
      <c r="G23" s="442"/>
      <c r="H23" s="442"/>
      <c r="I23" s="442"/>
      <c r="J23" s="442"/>
      <c r="K23" s="442"/>
      <c r="L23" s="408"/>
    </row>
    <row r="24" spans="1:12">
      <c r="A24" s="408"/>
      <c r="B24" s="501" t="s">
        <v>399</v>
      </c>
      <c r="C24" s="481">
        <f>C16*2*(C4+C5+C6)</f>
        <v>0</v>
      </c>
      <c r="D24" s="482"/>
      <c r="E24" s="483">
        <f>C24*D24</f>
        <v>0</v>
      </c>
      <c r="F24" s="348"/>
      <c r="G24" s="442"/>
      <c r="H24" s="442"/>
      <c r="I24" s="442"/>
      <c r="J24" s="442"/>
      <c r="K24" s="442"/>
      <c r="L24" s="408"/>
    </row>
    <row r="25" spans="1:12">
      <c r="A25" s="408"/>
      <c r="B25" s="452" t="s">
        <v>400</v>
      </c>
      <c r="C25" s="345">
        <f>IF(C16=0,C17*(C4+C5+C6),0)</f>
        <v>0</v>
      </c>
      <c r="D25" s="356"/>
      <c r="E25" s="347">
        <f t="shared" ref="E25:E57" si="1">C25*D25</f>
        <v>0</v>
      </c>
      <c r="F25" s="348"/>
      <c r="G25" s="444"/>
      <c r="H25" s="442"/>
      <c r="I25" s="442"/>
      <c r="J25" s="442"/>
      <c r="K25" s="442"/>
      <c r="L25" s="408"/>
    </row>
    <row r="26" spans="1:12">
      <c r="A26" s="408"/>
      <c r="B26" s="454" t="s">
        <v>479</v>
      </c>
      <c r="C26" s="350">
        <f>IF(AND((C4+C5+C6)&gt;0.9,C14=0,C2&lt;=1),(C4+C5+C6)*2,IF(AND((C4+C5+C6)&gt;0.9,C14=0,C2&lt;=1.5),(C4+C5+C6)*3,IF(AND((C4+C5+C6)&gt;0.9,C14=0,C2&lt;=2),(C4+C5+C6)*4,IF(AND((C4+C5+C6)&gt;0.9,C14=0,C2&lt;=2.5),(C4+C5+C6)*5,IF(AND((C4+C5+C6)&gt;0.9,C14=0,C2&lt;=3),(C4+C5+C6)*6,IF(AND((C4+C5+C6)&gt;0.9,C14=0,C2&lt;=3.5),(C4+C5+C6)*7,IF(AND((C4+C5+C6)&gt;0.9,C14=0,C2&lt;=4),(C4+C5+C6)*8,IF(AND((C4+C5+C6)&gt;0.9,C14=0,C2&lt;=4.5),(C4+C5+C6)*9,IF(AND((C4+C5+C6)&gt;0.9,C14=0,C2&lt;=5),(C4+C5+C6)*10,0)))))))))</f>
        <v>0</v>
      </c>
      <c r="D26" s="356"/>
      <c r="E26" s="347">
        <f t="shared" si="1"/>
        <v>0</v>
      </c>
      <c r="F26" s="348"/>
      <c r="G26" s="442"/>
      <c r="H26" s="442"/>
      <c r="I26" s="442"/>
      <c r="J26" s="442"/>
      <c r="K26" s="442"/>
      <c r="L26" s="408"/>
    </row>
    <row r="27" spans="1:12">
      <c r="A27" s="408"/>
      <c r="B27" s="344" t="s">
        <v>723</v>
      </c>
      <c r="C27" s="350">
        <f>IF(AND((C4+C5+C6)&gt;0.9,C14=1,C2&lt;=1),(C4+C5+C6)*2,IF(AND((C4+C5+C6)&gt;0.9,C14=1,C2&lt;=1.5),(C4+C5+C6)*3,IF(AND((C4+C5+C6)&gt;0.9,C14=1,C2&lt;=2),(C4+C5+C6)*4,IF(AND((C4+C5+C6)&gt;0.9,C14=1,C2&lt;=2.5),(C4+C5+C6)*5,IF(AND((C4+C5+C6)&gt;0.9,C14=1,C2&lt;=3),(C4+C5+C6)*6,IF(AND((C4+C5+C6)&gt;0.9,C14=1,C2&lt;=3.5),(C4+C5+C6)*7,IF(AND((C4+C5+C6)&gt;0.9,C14=1,C2&lt;=4),(C4+C5+C6)*8,IF(AND((C4+C5+C6)&gt;0.9,C14=1,C2&lt;=4.5),(C4+C5+C6)*9,IF(AND((C4+C5+C6)&gt;0.9,C14=1,C2&lt;=5),(C4+C5+C6)*10,0)))))))))</f>
        <v>0</v>
      </c>
      <c r="D27" s="356"/>
      <c r="E27" s="347">
        <f t="shared" si="1"/>
        <v>0</v>
      </c>
      <c r="F27" s="348"/>
      <c r="G27" s="442"/>
      <c r="H27" s="442"/>
      <c r="I27" s="442"/>
      <c r="J27" s="442"/>
      <c r="K27" s="442"/>
      <c r="L27" s="408"/>
    </row>
    <row r="28" spans="1:12">
      <c r="A28" s="408"/>
      <c r="B28" s="454" t="s">
        <v>447</v>
      </c>
      <c r="C28" s="350">
        <f>IF(C15=1,(C4+C6+C5)*2,0)</f>
        <v>0</v>
      </c>
      <c r="D28" s="356"/>
      <c r="E28" s="347">
        <f t="shared" si="1"/>
        <v>0</v>
      </c>
      <c r="F28" s="348"/>
      <c r="G28" s="411"/>
      <c r="H28" s="442"/>
      <c r="I28" s="442"/>
      <c r="J28" s="442"/>
      <c r="K28" s="442"/>
      <c r="L28" s="408"/>
    </row>
    <row r="29" spans="1:12">
      <c r="A29" s="408"/>
      <c r="B29" s="454" t="s">
        <v>448</v>
      </c>
      <c r="C29" s="350">
        <f>IF(C15=2,(C4+C6+C5)*2,0)</f>
        <v>0</v>
      </c>
      <c r="D29" s="356"/>
      <c r="E29" s="347">
        <f t="shared" si="1"/>
        <v>0</v>
      </c>
      <c r="F29" s="348"/>
      <c r="G29" s="442"/>
      <c r="H29" s="442"/>
      <c r="I29" s="442"/>
      <c r="J29" s="442"/>
      <c r="K29" s="442"/>
      <c r="L29" s="408"/>
    </row>
    <row r="30" spans="1:12">
      <c r="A30" s="408"/>
      <c r="B30" s="452" t="s">
        <v>627</v>
      </c>
      <c r="C30" s="353">
        <f>C28</f>
        <v>0</v>
      </c>
      <c r="D30" s="356"/>
      <c r="E30" s="347">
        <f t="shared" si="1"/>
        <v>0</v>
      </c>
      <c r="F30" s="348"/>
      <c r="G30" s="444"/>
      <c r="H30" s="442"/>
      <c r="I30" s="442"/>
      <c r="J30" s="442"/>
      <c r="K30" s="442"/>
      <c r="L30" s="408"/>
    </row>
    <row r="31" spans="1:12">
      <c r="A31" s="408"/>
      <c r="B31" s="454" t="s">
        <v>628</v>
      </c>
      <c r="C31" s="350">
        <f>C29</f>
        <v>0</v>
      </c>
      <c r="D31" s="356"/>
      <c r="E31" s="347">
        <f t="shared" si="1"/>
        <v>0</v>
      </c>
      <c r="F31" s="348"/>
      <c r="G31" s="442"/>
      <c r="H31" s="442"/>
      <c r="I31" s="442"/>
      <c r="J31" s="442"/>
      <c r="K31" s="442"/>
      <c r="L31" s="408"/>
    </row>
    <row r="32" spans="1:12">
      <c r="A32" s="408"/>
      <c r="B32" s="454" t="s">
        <v>477</v>
      </c>
      <c r="C32" s="350">
        <f>(C4+C6+C5)*C2</f>
        <v>0</v>
      </c>
      <c r="D32" s="356"/>
      <c r="E32" s="347">
        <f t="shared" si="1"/>
        <v>0</v>
      </c>
      <c r="F32" s="348"/>
      <c r="G32" s="411"/>
      <c r="H32" s="442"/>
      <c r="I32" s="442"/>
      <c r="J32" s="442"/>
      <c r="K32" s="442"/>
      <c r="L32" s="408"/>
    </row>
    <row r="33" spans="1:12">
      <c r="A33" s="408"/>
      <c r="B33" s="452" t="s">
        <v>474</v>
      </c>
      <c r="C33" s="345">
        <f>C5*C2</f>
        <v>0</v>
      </c>
      <c r="D33" s="356"/>
      <c r="E33" s="347">
        <f t="shared" si="1"/>
        <v>0</v>
      </c>
      <c r="F33" s="348"/>
      <c r="G33" s="411"/>
      <c r="H33" s="442"/>
      <c r="I33" s="442"/>
      <c r="J33" s="442"/>
      <c r="K33" s="442"/>
      <c r="L33" s="408"/>
    </row>
    <row r="34" spans="1:12">
      <c r="A34" s="408"/>
      <c r="B34" s="454" t="s">
        <v>401</v>
      </c>
      <c r="C34" s="350">
        <f>(C16+C17)*C2*(C4+C5+C6)</f>
        <v>0</v>
      </c>
      <c r="D34" s="356"/>
      <c r="E34" s="347">
        <f t="shared" si="1"/>
        <v>0</v>
      </c>
      <c r="F34" s="348"/>
      <c r="G34" s="411"/>
      <c r="H34" s="442"/>
      <c r="I34" s="442"/>
      <c r="J34" s="442"/>
      <c r="K34" s="442"/>
      <c r="L34" s="408"/>
    </row>
    <row r="35" spans="1:12">
      <c r="A35" s="408"/>
      <c r="B35" s="454" t="s">
        <v>402</v>
      </c>
      <c r="C35" s="350">
        <f>C17*C2*(C4+C5+C6)</f>
        <v>0</v>
      </c>
      <c r="D35" s="356"/>
      <c r="E35" s="347">
        <f t="shared" si="1"/>
        <v>0</v>
      </c>
      <c r="F35" s="348"/>
      <c r="G35" s="411"/>
      <c r="H35" s="442"/>
      <c r="I35" s="442"/>
      <c r="J35" s="442"/>
      <c r="K35" s="442"/>
      <c r="L35" s="408"/>
    </row>
    <row r="36" spans="1:12">
      <c r="A36" s="408"/>
      <c r="B36" s="452" t="s">
        <v>525</v>
      </c>
      <c r="C36" s="350">
        <f>C2*C4</f>
        <v>0</v>
      </c>
      <c r="D36" s="356"/>
      <c r="E36" s="347">
        <f t="shared" si="1"/>
        <v>0</v>
      </c>
      <c r="F36" s="348"/>
      <c r="G36" s="442"/>
      <c r="H36" s="442"/>
      <c r="I36" s="442"/>
      <c r="J36" s="442"/>
      <c r="K36" s="442"/>
      <c r="L36" s="408"/>
    </row>
    <row r="37" spans="1:12">
      <c r="A37" s="408"/>
      <c r="B37" s="452" t="s">
        <v>451</v>
      </c>
      <c r="C37" s="350">
        <f>C2*C5</f>
        <v>0</v>
      </c>
      <c r="D37" s="356"/>
      <c r="E37" s="347">
        <f t="shared" si="1"/>
        <v>0</v>
      </c>
      <c r="F37" s="348"/>
      <c r="G37" s="442"/>
      <c r="H37" s="442"/>
      <c r="I37" s="442"/>
      <c r="J37" s="442"/>
      <c r="K37" s="442"/>
      <c r="L37" s="408"/>
    </row>
    <row r="38" spans="1:12">
      <c r="A38" s="408"/>
      <c r="B38" s="452" t="s">
        <v>450</v>
      </c>
      <c r="C38" s="345">
        <f>C2*C6</f>
        <v>0</v>
      </c>
      <c r="D38" s="356"/>
      <c r="E38" s="347">
        <f t="shared" si="1"/>
        <v>0</v>
      </c>
      <c r="F38" s="348"/>
      <c r="G38" s="442"/>
      <c r="H38" s="442"/>
      <c r="I38" s="442"/>
      <c r="J38" s="442"/>
      <c r="K38" s="442"/>
      <c r="L38" s="408"/>
    </row>
    <row r="39" spans="1:12">
      <c r="A39" s="408"/>
      <c r="B39" s="452" t="s">
        <v>366</v>
      </c>
      <c r="C39" s="345">
        <f>(C4+C6+C5)*C2</f>
        <v>0</v>
      </c>
      <c r="D39" s="356"/>
      <c r="E39" s="347">
        <f t="shared" si="1"/>
        <v>0</v>
      </c>
      <c r="F39" s="348"/>
      <c r="G39" s="442"/>
      <c r="H39" s="442"/>
      <c r="I39" s="442"/>
      <c r="J39" s="442"/>
      <c r="K39" s="442"/>
      <c r="L39" s="408"/>
    </row>
    <row r="40" spans="1:12">
      <c r="A40" s="408"/>
      <c r="B40" s="454" t="s">
        <v>403</v>
      </c>
      <c r="C40" s="350">
        <f>C4+C6+C5</f>
        <v>0</v>
      </c>
      <c r="D40" s="356"/>
      <c r="E40" s="347">
        <f t="shared" si="1"/>
        <v>0</v>
      </c>
      <c r="F40" s="348"/>
      <c r="G40" s="442"/>
      <c r="H40" s="442"/>
      <c r="I40" s="442"/>
      <c r="J40" s="442"/>
      <c r="K40" s="442"/>
      <c r="L40" s="408"/>
    </row>
    <row r="41" spans="1:12">
      <c r="A41" s="408"/>
      <c r="B41" s="454" t="s">
        <v>471</v>
      </c>
      <c r="C41" s="350">
        <f>C6</f>
        <v>0</v>
      </c>
      <c r="D41" s="356">
        <v>1</v>
      </c>
      <c r="E41" s="347">
        <f t="shared" si="1"/>
        <v>0</v>
      </c>
      <c r="F41" s="348"/>
      <c r="G41" s="442"/>
      <c r="H41" s="442"/>
      <c r="I41" s="442"/>
      <c r="J41" s="442"/>
      <c r="K41" s="442"/>
      <c r="L41" s="408"/>
    </row>
    <row r="42" spans="1:12">
      <c r="A42" s="408"/>
      <c r="B42" s="454" t="s">
        <v>367</v>
      </c>
      <c r="C42" s="350">
        <f>C6</f>
        <v>0</v>
      </c>
      <c r="D42" s="356"/>
      <c r="E42" s="347">
        <f t="shared" si="1"/>
        <v>0</v>
      </c>
      <c r="F42" s="348"/>
      <c r="G42" s="442"/>
      <c r="H42" s="442"/>
      <c r="I42" s="442"/>
      <c r="J42" s="442"/>
      <c r="K42" s="442"/>
      <c r="L42" s="408"/>
    </row>
    <row r="43" spans="1:12">
      <c r="A43" s="408"/>
      <c r="B43" s="454" t="s">
        <v>368</v>
      </c>
      <c r="C43" s="350">
        <f>(C4+C6+C5)*2</f>
        <v>0</v>
      </c>
      <c r="D43" s="356"/>
      <c r="E43" s="347">
        <f t="shared" si="1"/>
        <v>0</v>
      </c>
      <c r="F43" s="348"/>
      <c r="G43" s="442"/>
      <c r="H43" s="442"/>
      <c r="I43" s="442"/>
      <c r="J43" s="442"/>
      <c r="K43" s="442"/>
      <c r="L43" s="408"/>
    </row>
    <row r="44" spans="1:12">
      <c r="A44" s="408"/>
      <c r="B44" s="454" t="s">
        <v>480</v>
      </c>
      <c r="C44" s="350">
        <f>(C4+C6)*C2</f>
        <v>0</v>
      </c>
      <c r="D44" s="356"/>
      <c r="E44" s="347">
        <f t="shared" si="1"/>
        <v>0</v>
      </c>
      <c r="F44" s="348"/>
      <c r="G44" s="442"/>
      <c r="H44" s="442"/>
      <c r="I44" s="442"/>
      <c r="J44" s="442"/>
      <c r="K44" s="442"/>
      <c r="L44" s="408"/>
    </row>
    <row r="45" spans="1:12">
      <c r="A45" s="408"/>
      <c r="B45" s="455" t="s">
        <v>454</v>
      </c>
      <c r="C45" s="402">
        <f>C5+C4</f>
        <v>0</v>
      </c>
      <c r="D45" s="356"/>
      <c r="E45" s="347">
        <f t="shared" si="1"/>
        <v>0</v>
      </c>
      <c r="F45" s="348"/>
      <c r="G45" s="442"/>
      <c r="H45" s="442"/>
      <c r="I45" s="442"/>
      <c r="J45" s="442"/>
      <c r="K45" s="442"/>
      <c r="L45" s="408"/>
    </row>
    <row r="46" spans="1:12">
      <c r="A46" s="408"/>
      <c r="B46" s="455" t="s">
        <v>375</v>
      </c>
      <c r="C46" s="402">
        <f>C8+C7*(C4+C5)</f>
        <v>0</v>
      </c>
      <c r="D46" s="356"/>
      <c r="E46" s="347">
        <f t="shared" si="1"/>
        <v>0</v>
      </c>
      <c r="F46" s="348"/>
      <c r="G46" s="442"/>
      <c r="H46" s="442"/>
      <c r="I46" s="442"/>
      <c r="J46" s="442"/>
      <c r="K46" s="442"/>
      <c r="L46" s="408"/>
    </row>
    <row r="47" spans="1:12">
      <c r="A47" s="408"/>
      <c r="B47" s="455" t="s">
        <v>496</v>
      </c>
      <c r="C47" s="402">
        <f>C8*C5</f>
        <v>0</v>
      </c>
      <c r="D47" s="356"/>
      <c r="E47" s="347">
        <f t="shared" si="1"/>
        <v>0</v>
      </c>
      <c r="F47" s="348"/>
      <c r="G47" s="442"/>
      <c r="H47" s="442"/>
      <c r="I47" s="442"/>
      <c r="J47" s="442"/>
      <c r="K47" s="442"/>
      <c r="L47" s="408"/>
    </row>
    <row r="48" spans="1:12">
      <c r="A48" s="408"/>
      <c r="B48" s="455" t="s">
        <v>377</v>
      </c>
      <c r="C48" s="402">
        <f>C9*C6</f>
        <v>0</v>
      </c>
      <c r="D48" s="356"/>
      <c r="E48" s="347">
        <f t="shared" si="1"/>
        <v>0</v>
      </c>
      <c r="F48" s="348"/>
      <c r="G48" s="442"/>
      <c r="H48" s="442"/>
      <c r="I48" s="442"/>
      <c r="J48" s="442"/>
      <c r="K48" s="442"/>
      <c r="L48" s="408"/>
    </row>
    <row r="49" spans="1:12">
      <c r="A49" s="408"/>
      <c r="B49" s="455" t="s">
        <v>378</v>
      </c>
      <c r="C49" s="402">
        <f>C9*C6</f>
        <v>0</v>
      </c>
      <c r="D49" s="356"/>
      <c r="E49" s="347">
        <f t="shared" si="1"/>
        <v>0</v>
      </c>
      <c r="F49" s="348"/>
      <c r="G49" s="442"/>
      <c r="H49" s="442"/>
      <c r="I49" s="442"/>
      <c r="J49" s="442"/>
      <c r="K49" s="442"/>
      <c r="L49" s="408"/>
    </row>
    <row r="50" spans="1:12">
      <c r="A50" s="408"/>
      <c r="B50" s="455" t="s">
        <v>380</v>
      </c>
      <c r="C50" s="402">
        <f>C11*C5</f>
        <v>0</v>
      </c>
      <c r="D50" s="356"/>
      <c r="E50" s="347">
        <f t="shared" si="1"/>
        <v>0</v>
      </c>
      <c r="F50" s="348"/>
      <c r="G50" s="442"/>
      <c r="H50" s="442"/>
      <c r="I50" s="442"/>
      <c r="J50" s="442"/>
      <c r="K50" s="442"/>
      <c r="L50" s="408"/>
    </row>
    <row r="51" spans="1:12">
      <c r="A51" s="408"/>
      <c r="B51" s="455" t="s">
        <v>529</v>
      </c>
      <c r="C51" s="402">
        <f>C11+C10*(C4+C5)</f>
        <v>0</v>
      </c>
      <c r="D51" s="356"/>
      <c r="E51" s="347">
        <f t="shared" si="1"/>
        <v>0</v>
      </c>
      <c r="F51" s="348"/>
      <c r="G51" s="442"/>
      <c r="H51" s="442"/>
      <c r="I51" s="442"/>
      <c r="J51" s="442"/>
      <c r="K51" s="442"/>
      <c r="L51" s="408"/>
    </row>
    <row r="52" spans="1:12" hidden="1">
      <c r="A52" s="408"/>
      <c r="B52" s="455" t="s">
        <v>528</v>
      </c>
      <c r="C52" s="402">
        <f>(C7+C10)*C4</f>
        <v>0</v>
      </c>
      <c r="D52" s="356"/>
      <c r="E52" s="347">
        <f t="shared" si="1"/>
        <v>0</v>
      </c>
      <c r="F52" s="348"/>
      <c r="G52" s="442"/>
      <c r="H52" s="442"/>
      <c r="I52" s="442"/>
      <c r="J52" s="442"/>
      <c r="K52" s="442"/>
      <c r="L52" s="408"/>
    </row>
    <row r="53" spans="1:12">
      <c r="A53" s="408"/>
      <c r="B53" s="455" t="s">
        <v>386</v>
      </c>
      <c r="C53" s="402">
        <f>C12*C6</f>
        <v>0</v>
      </c>
      <c r="D53" s="356"/>
      <c r="E53" s="347">
        <f t="shared" si="1"/>
        <v>0</v>
      </c>
      <c r="F53" s="348"/>
      <c r="G53" s="442"/>
      <c r="H53" s="442"/>
      <c r="I53" s="442"/>
      <c r="J53" s="442"/>
      <c r="K53" s="442"/>
      <c r="L53" s="408"/>
    </row>
    <row r="54" spans="1:12">
      <c r="A54" s="408"/>
      <c r="B54" s="154" t="s">
        <v>145</v>
      </c>
      <c r="C54" s="402">
        <f>C19</f>
        <v>0</v>
      </c>
      <c r="D54" s="724"/>
      <c r="E54" s="403">
        <f t="shared" si="1"/>
        <v>0</v>
      </c>
      <c r="F54" s="348"/>
      <c r="G54" s="442"/>
      <c r="H54" s="442"/>
      <c r="I54" s="442"/>
      <c r="J54" s="442"/>
      <c r="K54" s="442"/>
      <c r="L54" s="408"/>
    </row>
    <row r="55" spans="1:12">
      <c r="A55" s="408"/>
      <c r="B55" s="154" t="s">
        <v>148</v>
      </c>
      <c r="C55" s="402">
        <f>C18</f>
        <v>0</v>
      </c>
      <c r="D55" s="724"/>
      <c r="E55" s="403">
        <f t="shared" si="1"/>
        <v>0</v>
      </c>
      <c r="F55" s="348"/>
      <c r="G55" s="442"/>
      <c r="H55" s="442"/>
      <c r="I55" s="442"/>
      <c r="J55" s="442"/>
      <c r="K55" s="442"/>
      <c r="L55" s="408"/>
    </row>
    <row r="56" spans="1:12">
      <c r="A56" s="408"/>
      <c r="B56" s="23" t="s">
        <v>689</v>
      </c>
      <c r="C56" s="402">
        <f>C20</f>
        <v>0</v>
      </c>
      <c r="D56" s="724"/>
      <c r="E56" s="403">
        <f t="shared" si="1"/>
        <v>0</v>
      </c>
      <c r="F56" s="348"/>
      <c r="G56" s="442"/>
      <c r="H56" s="442"/>
      <c r="I56" s="442"/>
      <c r="J56" s="442"/>
      <c r="K56" s="442"/>
      <c r="L56" s="408"/>
    </row>
    <row r="57" spans="1:12" ht="12" thickBot="1">
      <c r="A57" s="408"/>
      <c r="B57" s="457" t="s">
        <v>387</v>
      </c>
      <c r="C57" s="405">
        <f>C12*C6</f>
        <v>0</v>
      </c>
      <c r="D57" s="476"/>
      <c r="E57" s="407">
        <f t="shared" si="1"/>
        <v>0</v>
      </c>
      <c r="F57" s="348"/>
      <c r="G57" s="442"/>
      <c r="H57" s="442"/>
      <c r="I57" s="442"/>
      <c r="J57" s="442"/>
      <c r="K57" s="442"/>
      <c r="L57" s="408"/>
    </row>
    <row r="58" spans="1:12" ht="13.5" thickBot="1">
      <c r="A58" s="408"/>
      <c r="B58" s="442"/>
      <c r="C58" s="442"/>
      <c r="D58" s="458" t="s">
        <v>9</v>
      </c>
      <c r="E58" s="477">
        <f>SUMIF(E24:E57,"&gt;0",E24:E57)</f>
        <v>0</v>
      </c>
      <c r="F58" s="502"/>
      <c r="G58" s="442"/>
      <c r="H58" s="456"/>
      <c r="I58" s="442"/>
      <c r="J58" s="442"/>
      <c r="K58" s="442"/>
      <c r="L58" s="408"/>
    </row>
    <row r="59" spans="1:12" ht="11.25" customHeight="1">
      <c r="A59" s="408"/>
      <c r="B59" s="442"/>
      <c r="C59" s="442"/>
      <c r="D59" s="442"/>
      <c r="E59" s="442"/>
      <c r="F59" s="442"/>
      <c r="G59" s="408"/>
      <c r="H59" s="408"/>
      <c r="I59" s="408"/>
      <c r="J59" s="408"/>
      <c r="K59" s="408"/>
      <c r="L59" s="408"/>
    </row>
    <row r="60" spans="1:12" ht="11.25" customHeight="1">
      <c r="A60" s="408"/>
      <c r="B60" s="408"/>
      <c r="C60" s="408"/>
      <c r="D60" s="408"/>
      <c r="E60" s="408"/>
      <c r="F60" s="408"/>
      <c r="G60" s="408"/>
      <c r="H60" s="408"/>
      <c r="I60" s="408"/>
      <c r="J60" s="408"/>
      <c r="K60" s="408"/>
      <c r="L60" s="408"/>
    </row>
    <row r="61" spans="1:12" ht="11.25" customHeight="1">
      <c r="A61" s="408"/>
      <c r="B61" s="408"/>
      <c r="C61" s="408"/>
      <c r="D61" s="408"/>
      <c r="E61" s="408"/>
      <c r="F61" s="408"/>
      <c r="G61" s="408"/>
      <c r="H61" s="408"/>
      <c r="I61" s="408"/>
      <c r="J61" s="408"/>
      <c r="K61" s="408"/>
      <c r="L61" s="408"/>
    </row>
    <row r="62" spans="1:12" ht="11.25" customHeight="1">
      <c r="A62" s="408"/>
      <c r="B62" s="408"/>
      <c r="C62" s="408"/>
      <c r="D62" s="408"/>
      <c r="E62" s="408"/>
      <c r="F62" s="408"/>
      <c r="G62" s="408"/>
      <c r="H62" s="408"/>
      <c r="I62" s="408"/>
      <c r="J62" s="408"/>
      <c r="K62" s="408"/>
      <c r="L62" s="408"/>
    </row>
    <row r="63" spans="1:12" ht="11.25" customHeight="1">
      <c r="A63" s="408"/>
      <c r="B63" s="408"/>
      <c r="C63" s="408"/>
      <c r="D63" s="408"/>
      <c r="E63" s="408"/>
      <c r="F63" s="408"/>
      <c r="G63" s="408"/>
      <c r="H63" s="408"/>
      <c r="I63" s="408"/>
      <c r="J63" s="408"/>
      <c r="K63" s="408"/>
      <c r="L63" s="408"/>
    </row>
    <row r="64" spans="1:12" ht="11.25" customHeight="1">
      <c r="A64" s="408"/>
      <c r="B64" s="408"/>
      <c r="C64" s="408"/>
      <c r="D64" s="408"/>
      <c r="E64" s="408"/>
      <c r="F64" s="408"/>
      <c r="G64" s="408"/>
      <c r="H64" s="408"/>
      <c r="I64" s="408"/>
      <c r="J64" s="408"/>
      <c r="K64" s="408"/>
      <c r="L64" s="408"/>
    </row>
    <row r="65" spans="2:6" ht="11.25" customHeight="1">
      <c r="B65" s="408"/>
      <c r="C65" s="408"/>
      <c r="D65" s="408"/>
      <c r="E65" s="408"/>
      <c r="F65" s="408"/>
    </row>
    <row r="66" spans="2:6" ht="11.25" customHeight="1"/>
    <row r="67" spans="2:6" ht="11.25" customHeight="1"/>
    <row r="68" spans="2:6" ht="11.25" customHeight="1"/>
    <row r="69" spans="2:6" ht="11.25" customHeight="1"/>
    <row r="70" spans="2:6" ht="11.25" customHeight="1"/>
    <row r="71" spans="2:6" ht="11.25" customHeight="1"/>
    <row r="72" spans="2:6" ht="11.25" customHeight="1"/>
    <row r="73" spans="2:6" ht="11.25" customHeight="1"/>
    <row r="74" spans="2:6" ht="11.25" customHeight="1"/>
    <row r="75" spans="2:6" ht="11.25" customHeight="1"/>
    <row r="76" spans="2:6" ht="11.25" customHeight="1"/>
    <row r="77" spans="2:6" ht="12" customHeight="1"/>
    <row r="78" spans="2:6" ht="11.25" customHeight="1"/>
    <row r="79" spans="2:6" ht="11.25" customHeight="1"/>
    <row r="80" spans="2:6" ht="11.25" customHeight="1"/>
    <row r="81" ht="11.25" customHeight="1"/>
    <row r="82" ht="11.25" customHeight="1"/>
    <row r="83" ht="11.25" customHeight="1"/>
  </sheetData>
  <sheetProtection algorithmName="SHA-512" hashValue="O7HSQc6h9VwmCEltgBILnh4YxpacDuUEMOAqXte7b+PyWgWnhzY2uKbrQ9Ay736vlCI0JsX+sWXqlCYiBdnf6A==" saltValue="RUAtfbzE9fuYWA5vvHHn8w==" spinCount="100000" sheet="1"/>
  <mergeCells count="8">
    <mergeCell ref="B1:D1"/>
    <mergeCell ref="D2:F3"/>
    <mergeCell ref="D18:F18"/>
    <mergeCell ref="D19:F19"/>
    <mergeCell ref="D20:F20"/>
    <mergeCell ref="D4:F6"/>
    <mergeCell ref="F7:F12"/>
    <mergeCell ref="F16:F17"/>
  </mergeCells>
  <conditionalFormatting sqref="I3:I21">
    <cfRule type="cellIs" dxfId="636" priority="11" operator="equal">
      <formula>"ДА"</formula>
    </cfRule>
    <cfRule type="cellIs" dxfId="635" priority="12" operator="equal">
      <formula>"НЕТ"</formula>
    </cfRule>
  </conditionalFormatting>
  <conditionalFormatting sqref="I3:I21">
    <cfRule type="colorScale" priority="1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634" priority="14" operator="greaterThan">
      <formula>0</formula>
    </cfRule>
  </conditionalFormatting>
  <conditionalFormatting sqref="C13">
    <cfRule type="cellIs" dxfId="633" priority="10" operator="greaterThan">
      <formula>0</formula>
    </cfRule>
  </conditionalFormatting>
  <conditionalFormatting sqref="C2:C13 C15:C17">
    <cfRule type="cellIs" dxfId="632" priority="9" operator="greaterThan">
      <formula>0</formula>
    </cfRule>
  </conditionalFormatting>
  <conditionalFormatting sqref="C57:E57 C25:E53">
    <cfRule type="cellIs" dxfId="631" priority="8" operator="greaterThan">
      <formula>0</formula>
    </cfRule>
  </conditionalFormatting>
  <conditionalFormatting sqref="E58">
    <cfRule type="cellIs" dxfId="630" priority="5" operator="greaterThan">
      <formula>0</formula>
    </cfRule>
    <cfRule type="cellIs" dxfId="629" priority="6" operator="greaterThan">
      <formula>0</formula>
    </cfRule>
    <cfRule type="cellIs" dxfId="628" priority="7" operator="greaterThan">
      <formula>0</formula>
    </cfRule>
  </conditionalFormatting>
  <conditionalFormatting sqref="C18:C20">
    <cfRule type="cellIs" dxfId="627" priority="4" operator="greaterThan">
      <formula>0</formula>
    </cfRule>
  </conditionalFormatting>
  <conditionalFormatting sqref="C54:C56">
    <cfRule type="cellIs" dxfId="626" priority="2" operator="greaterThan">
      <formula>0</formula>
    </cfRule>
  </conditionalFormatting>
  <conditionalFormatting sqref="C54:E56">
    <cfRule type="cellIs" dxfId="625" priority="3" operator="greaterThan">
      <formula>0</formula>
    </cfRule>
  </conditionalFormatting>
  <conditionalFormatting sqref="C14">
    <cfRule type="cellIs" dxfId="624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P83"/>
  <sheetViews>
    <sheetView workbookViewId="0">
      <pane ySplit="22" topLeftCell="A35" activePane="bottomLeft" state="frozen"/>
      <selection pane="bottomLeft" activeCell="D35" sqref="D35"/>
    </sheetView>
  </sheetViews>
  <sheetFormatPr defaultRowHeight="11.25"/>
  <cols>
    <col min="2" max="2" width="51.1640625" customWidth="1"/>
    <col min="3" max="3" width="13.6640625" customWidth="1"/>
    <col min="4" max="4" width="16.6640625" customWidth="1"/>
    <col min="5" max="5" width="18.33203125" customWidth="1"/>
    <col min="6" max="6" width="26.6640625" customWidth="1"/>
    <col min="7" max="7" width="4.5" customWidth="1"/>
    <col min="8" max="8" width="48.1640625" customWidth="1"/>
    <col min="9" max="9" width="5.6640625" customWidth="1"/>
  </cols>
  <sheetData>
    <row r="1" spans="1:16" ht="54" customHeight="1" thickBot="1">
      <c r="A1" s="408"/>
      <c r="B1" s="1236"/>
      <c r="C1" s="1237"/>
      <c r="D1" s="1237"/>
      <c r="E1" s="1236"/>
      <c r="F1" s="1237"/>
      <c r="G1" s="1237"/>
      <c r="H1" s="1236"/>
      <c r="I1" s="1237"/>
      <c r="J1" s="1237"/>
      <c r="K1" s="1236"/>
      <c r="L1" s="1237"/>
      <c r="M1" s="1237"/>
      <c r="N1" s="1168"/>
      <c r="O1" s="1169"/>
      <c r="P1" s="1169"/>
    </row>
    <row r="2" spans="1:16" ht="11.25" customHeight="1" thickBot="1">
      <c r="A2" s="408"/>
      <c r="B2" s="410" t="s">
        <v>10</v>
      </c>
      <c r="C2" s="461">
        <v>0</v>
      </c>
      <c r="D2" s="1238" t="s">
        <v>595</v>
      </c>
      <c r="E2" s="1239"/>
      <c r="F2" s="1240"/>
      <c r="G2" s="487"/>
      <c r="H2" s="412" t="s">
        <v>485</v>
      </c>
      <c r="I2" s="413" t="s">
        <v>604</v>
      </c>
      <c r="J2" s="479" t="s">
        <v>4</v>
      </c>
      <c r="K2" s="480" t="s">
        <v>8</v>
      </c>
      <c r="L2" s="408"/>
      <c r="M2" s="408"/>
    </row>
    <row r="3" spans="1:16" ht="12.75" thickBot="1">
      <c r="A3" s="408"/>
      <c r="B3" s="415" t="s">
        <v>1</v>
      </c>
      <c r="C3" s="462">
        <v>0</v>
      </c>
      <c r="D3" s="1241"/>
      <c r="E3" s="1242"/>
      <c r="F3" s="1243"/>
      <c r="G3" s="408"/>
      <c r="H3" s="416" t="s">
        <v>372</v>
      </c>
      <c r="I3" s="417" t="str">
        <f>IF(AND($C$7+$C$8=1,$C$9+$C$10+$C$11+$C$12=0,$C$13=2),"ДА","НЕТ")</f>
        <v>НЕТ</v>
      </c>
      <c r="J3" s="321"/>
      <c r="K3" s="322">
        <f>IF(I3="ДА",($C$4+$C$5+$C$6)*J3,0)</f>
        <v>0</v>
      </c>
      <c r="L3" s="408"/>
      <c r="M3" s="408"/>
    </row>
    <row r="4" spans="1:16" ht="12" customHeight="1">
      <c r="A4" s="408"/>
      <c r="B4" s="422" t="s">
        <v>530</v>
      </c>
      <c r="C4" s="465">
        <v>0</v>
      </c>
      <c r="D4" s="1238" t="s">
        <v>597</v>
      </c>
      <c r="E4" s="1239"/>
      <c r="F4" s="1261"/>
      <c r="G4" s="489"/>
      <c r="H4" s="419" t="s">
        <v>373</v>
      </c>
      <c r="I4" s="417" t="str">
        <f>IF(AND($C$7+$C$8=1,$C$9+$C$10+$C$11+$C$12=0,$C$13=2),"ДА","НЕТ")</f>
        <v>НЕТ</v>
      </c>
      <c r="J4" s="398"/>
      <c r="K4" s="322">
        <f t="shared" ref="K4:K21" si="0">IF(I4="ДА",($C$4+$C$5+$C$6)*J4,0)</f>
        <v>0</v>
      </c>
      <c r="L4" s="408"/>
      <c r="M4" s="408"/>
    </row>
    <row r="5" spans="1:16" ht="12">
      <c r="A5" s="408"/>
      <c r="B5" s="422" t="s">
        <v>396</v>
      </c>
      <c r="C5" s="465">
        <v>0</v>
      </c>
      <c r="D5" s="1258"/>
      <c r="E5" s="1244"/>
      <c r="F5" s="1262"/>
      <c r="G5" s="408"/>
      <c r="H5" s="419" t="s">
        <v>374</v>
      </c>
      <c r="I5" s="417" t="str">
        <f>IF(AND($C$7+$C$8=1,$C$9+$C$10+$C$11+$C$12=0,$C$13=2),"ДА","НЕТ")</f>
        <v>НЕТ</v>
      </c>
      <c r="J5" s="398"/>
      <c r="K5" s="322">
        <f t="shared" si="0"/>
        <v>0</v>
      </c>
      <c r="L5" s="408"/>
      <c r="M5" s="408"/>
    </row>
    <row r="6" spans="1:16" ht="12.75" thickBot="1">
      <c r="A6" s="408"/>
      <c r="B6" s="517" t="s">
        <v>392</v>
      </c>
      <c r="C6" s="516">
        <v>0</v>
      </c>
      <c r="D6" s="1258"/>
      <c r="E6" s="1244"/>
      <c r="F6" s="1262"/>
      <c r="G6" s="408"/>
      <c r="H6" s="421" t="s">
        <v>376</v>
      </c>
      <c r="I6" s="417" t="str">
        <f>IF(AND($C$7+$C$8=1,$C$9+$C$10+$C$11+$C$12=0,$C$13=3),"ДА","НЕТ")</f>
        <v>НЕТ</v>
      </c>
      <c r="J6" s="325"/>
      <c r="K6" s="322">
        <f t="shared" si="0"/>
        <v>0</v>
      </c>
      <c r="L6" s="408"/>
      <c r="M6" s="408"/>
    </row>
    <row r="7" spans="1:16" ht="12" customHeight="1">
      <c r="A7" s="408"/>
      <c r="B7" s="410" t="s">
        <v>521</v>
      </c>
      <c r="C7" s="467">
        <v>0</v>
      </c>
      <c r="D7" s="423" t="s">
        <v>287</v>
      </c>
      <c r="E7" s="424" t="s">
        <v>255</v>
      </c>
      <c r="F7" s="1246" t="s">
        <v>596</v>
      </c>
      <c r="G7" s="408"/>
      <c r="H7" s="419" t="s">
        <v>489</v>
      </c>
      <c r="I7" s="417" t="str">
        <f>IF(AND($C$9=1,$C$7+$C$8+$C$10+$C$11+$C$12=0,$C$13=1),"ДА","НЕТ")</f>
        <v>НЕТ</v>
      </c>
      <c r="J7" s="398"/>
      <c r="K7" s="322">
        <f t="shared" si="0"/>
        <v>0</v>
      </c>
      <c r="L7" s="408"/>
      <c r="M7" s="408"/>
    </row>
    <row r="8" spans="1:16" ht="12">
      <c r="A8" s="408"/>
      <c r="B8" s="422" t="s">
        <v>490</v>
      </c>
      <c r="C8" s="465">
        <v>0</v>
      </c>
      <c r="D8" s="427" t="s">
        <v>287</v>
      </c>
      <c r="E8" s="428" t="s">
        <v>255</v>
      </c>
      <c r="F8" s="1247"/>
      <c r="G8" s="526"/>
      <c r="H8" s="421" t="s">
        <v>486</v>
      </c>
      <c r="I8" s="417" t="str">
        <f>IF(AND($C$9=1,$C$7+$C$8+$C$10+$C$11+$C$12=0,$C$13=3),"ДА","НЕТ")</f>
        <v>НЕТ</v>
      </c>
      <c r="J8" s="325"/>
      <c r="K8" s="322">
        <f t="shared" si="0"/>
        <v>0</v>
      </c>
      <c r="L8" s="408"/>
      <c r="M8" s="408"/>
    </row>
    <row r="9" spans="1:16" ht="12">
      <c r="A9" s="408"/>
      <c r="B9" s="420" t="s">
        <v>491</v>
      </c>
      <c r="C9" s="464">
        <v>0</v>
      </c>
      <c r="D9" s="427" t="s">
        <v>287</v>
      </c>
      <c r="E9" s="427" t="s">
        <v>255</v>
      </c>
      <c r="F9" s="1247"/>
      <c r="G9" s="526"/>
      <c r="H9" s="421" t="s">
        <v>487</v>
      </c>
      <c r="I9" s="417" t="str">
        <f>IF(AND($C$9=1,$C$7+$C$8+$C$10+$C$11+$C$12=0,$C$13=2),"ДА","НЕТ")</f>
        <v>НЕТ</v>
      </c>
      <c r="J9" s="325"/>
      <c r="K9" s="322">
        <f t="shared" si="0"/>
        <v>0</v>
      </c>
      <c r="L9" s="408"/>
      <c r="M9" s="408"/>
    </row>
    <row r="10" spans="1:16" ht="12">
      <c r="A10" s="408"/>
      <c r="B10" s="422" t="s">
        <v>522</v>
      </c>
      <c r="C10" s="465">
        <v>0</v>
      </c>
      <c r="D10" s="425" t="s">
        <v>287</v>
      </c>
      <c r="E10" s="426" t="s">
        <v>255</v>
      </c>
      <c r="F10" s="1247"/>
      <c r="G10" s="526"/>
      <c r="H10" s="421" t="s">
        <v>488</v>
      </c>
      <c r="I10" s="417" t="str">
        <f>IF(AND($C$9=1,$C$7+$C$8+$C$10+$C$11+$C$12=0,$C$13=2),"ДА","НЕТ")</f>
        <v>НЕТ</v>
      </c>
      <c r="J10" s="325"/>
      <c r="K10" s="322">
        <f t="shared" si="0"/>
        <v>0</v>
      </c>
      <c r="L10" s="408"/>
      <c r="M10" s="408"/>
    </row>
    <row r="11" spans="1:16" ht="12">
      <c r="A11" s="408"/>
      <c r="B11" s="422" t="s">
        <v>492</v>
      </c>
      <c r="C11" s="465">
        <v>0</v>
      </c>
      <c r="D11" s="427" t="s">
        <v>287</v>
      </c>
      <c r="E11" s="428" t="s">
        <v>255</v>
      </c>
      <c r="F11" s="1247"/>
      <c r="G11" s="408"/>
      <c r="H11" s="421" t="s">
        <v>494</v>
      </c>
      <c r="I11" s="417" t="str">
        <f>IF(AND($C$9=1,$C$7+$C$8+$C$10+$C$11+$C$12=0,$C$13=2),"ДА","НЕТ")</f>
        <v>НЕТ</v>
      </c>
      <c r="J11" s="325"/>
      <c r="K11" s="322">
        <f t="shared" si="0"/>
        <v>0</v>
      </c>
      <c r="L11" s="408"/>
      <c r="M11" s="408"/>
    </row>
    <row r="12" spans="1:16" ht="12.75" thickBot="1">
      <c r="A12" s="408"/>
      <c r="B12" s="415" t="s">
        <v>493</v>
      </c>
      <c r="C12" s="466">
        <v>0</v>
      </c>
      <c r="D12" s="490" t="s">
        <v>287</v>
      </c>
      <c r="E12" s="491" t="s">
        <v>255</v>
      </c>
      <c r="F12" s="1248"/>
      <c r="G12" s="408"/>
      <c r="H12" s="421" t="s">
        <v>626</v>
      </c>
      <c r="I12" s="417" t="str">
        <f>IF(AND($C$10=1,$C$8+$C$9+$C$7+$C$11+$C$12=0,$C$13=2),"ДА","НЕТ")</f>
        <v>НЕТ</v>
      </c>
      <c r="J12" s="325"/>
      <c r="K12" s="322">
        <f t="shared" si="0"/>
        <v>0</v>
      </c>
      <c r="L12" s="408"/>
      <c r="M12" s="408"/>
    </row>
    <row r="13" spans="1:16" ht="12.75" thickBot="1">
      <c r="A13" s="408"/>
      <c r="B13" s="517" t="s">
        <v>589</v>
      </c>
      <c r="C13" s="516">
        <v>0</v>
      </c>
      <c r="D13" s="518" t="s">
        <v>619</v>
      </c>
      <c r="E13" s="519" t="s">
        <v>620</v>
      </c>
      <c r="F13" s="520" t="s">
        <v>621</v>
      </c>
      <c r="G13" s="408"/>
      <c r="H13" s="421" t="s">
        <v>518</v>
      </c>
      <c r="I13" s="417" t="str">
        <f>IF(AND($C$10=1,$C$8+$C$9+$C$7+$C$11+$C$12=0,$C$13=2),"ДА","НЕТ")</f>
        <v>НЕТ</v>
      </c>
      <c r="J13" s="325"/>
      <c r="K13" s="322">
        <f t="shared" si="0"/>
        <v>0</v>
      </c>
      <c r="L13" s="408"/>
      <c r="M13" s="408"/>
    </row>
    <row r="14" spans="1:16" ht="12" customHeight="1">
      <c r="A14" s="408"/>
      <c r="B14" s="410" t="s">
        <v>397</v>
      </c>
      <c r="C14" s="467">
        <v>0</v>
      </c>
      <c r="D14" s="423" t="s">
        <v>287</v>
      </c>
      <c r="E14" s="424" t="s">
        <v>255</v>
      </c>
      <c r="F14" s="1259" t="s">
        <v>597</v>
      </c>
      <c r="G14" s="408"/>
      <c r="H14" s="421" t="s">
        <v>519</v>
      </c>
      <c r="I14" s="417" t="str">
        <f>IF(AND($C$10=1,$C$8+$C$9+$C$7+$C$11+$C$12=0,$C$13=1),"ДА","НЕТ")</f>
        <v>НЕТ</v>
      </c>
      <c r="J14" s="325"/>
      <c r="K14" s="322">
        <f t="shared" si="0"/>
        <v>0</v>
      </c>
      <c r="L14" s="408"/>
      <c r="M14" s="408"/>
    </row>
    <row r="15" spans="1:16" ht="12.75" thickBot="1">
      <c r="A15" s="408"/>
      <c r="B15" s="415" t="s">
        <v>398</v>
      </c>
      <c r="C15" s="466">
        <v>0</v>
      </c>
      <c r="D15" s="490" t="s">
        <v>287</v>
      </c>
      <c r="E15" s="491" t="s">
        <v>255</v>
      </c>
      <c r="F15" s="1260"/>
      <c r="G15" s="408"/>
      <c r="H15" s="419" t="s">
        <v>379</v>
      </c>
      <c r="I15" s="417" t="str">
        <f>IF(AND($C$11=1,$C$7+$C$9+$C$10+$C$8+$C$12=0,$C$13=2),"ДА","НЕТ")</f>
        <v>НЕТ</v>
      </c>
      <c r="J15" s="328"/>
      <c r="K15" s="322">
        <f t="shared" si="0"/>
        <v>0</v>
      </c>
      <c r="L15" s="408"/>
      <c r="M15" s="408"/>
    </row>
    <row r="16" spans="1:16" ht="12.75" thickBot="1">
      <c r="A16" s="408"/>
      <c r="B16" s="443" t="s">
        <v>404</v>
      </c>
      <c r="C16" s="469">
        <v>0</v>
      </c>
      <c r="D16" s="527" t="s">
        <v>409</v>
      </c>
      <c r="E16" s="431" t="s">
        <v>410</v>
      </c>
      <c r="F16" s="472"/>
      <c r="G16" s="408"/>
      <c r="H16" s="416" t="s">
        <v>381</v>
      </c>
      <c r="I16" s="417" t="str">
        <f>IF(AND($C$11=1,$C$7+$C$9+$C$10+$C$8+$C$12=0,$C$13=1),"ДА","НЕТ")</f>
        <v>НЕТ</v>
      </c>
      <c r="J16" s="328"/>
      <c r="K16" s="322">
        <f t="shared" si="0"/>
        <v>0</v>
      </c>
      <c r="L16" s="408"/>
      <c r="M16" s="408"/>
    </row>
    <row r="17" spans="1:13" ht="12">
      <c r="A17" s="492"/>
      <c r="B17" s="410" t="s">
        <v>147</v>
      </c>
      <c r="C17" s="467">
        <v>0</v>
      </c>
      <c r="D17" s="1249" t="s">
        <v>686</v>
      </c>
      <c r="E17" s="1250"/>
      <c r="F17" s="1251"/>
      <c r="G17" s="408"/>
      <c r="H17" s="416" t="s">
        <v>382</v>
      </c>
      <c r="I17" s="417" t="str">
        <f>IF(AND($C$11=1,$C$7+$C$9+$C$10+$C$8+$C$12=0,$C$13=3),"ДА","НЕТ")</f>
        <v>НЕТ</v>
      </c>
      <c r="J17" s="328"/>
      <c r="K17" s="322">
        <f t="shared" si="0"/>
        <v>0</v>
      </c>
      <c r="L17" s="408"/>
      <c r="M17" s="408"/>
    </row>
    <row r="18" spans="1:13" ht="12">
      <c r="A18" s="492"/>
      <c r="B18" s="420" t="s">
        <v>146</v>
      </c>
      <c r="C18" s="464">
        <v>0</v>
      </c>
      <c r="D18" s="1252" t="s">
        <v>687</v>
      </c>
      <c r="E18" s="1253"/>
      <c r="F18" s="1254"/>
      <c r="G18" s="408"/>
      <c r="H18" s="416" t="s">
        <v>383</v>
      </c>
      <c r="I18" s="417" t="str">
        <f>IF(AND($C$12=1,$C$7+$C$8+$C$9+$C$10+$C$11=0,$C$13=1),"ДА","НЕТ")</f>
        <v>НЕТ</v>
      </c>
      <c r="J18" s="328"/>
      <c r="K18" s="322">
        <f t="shared" si="0"/>
        <v>0</v>
      </c>
      <c r="L18" s="408"/>
      <c r="M18" s="408"/>
    </row>
    <row r="19" spans="1:13" ht="12.75" thickBot="1">
      <c r="A19" s="492"/>
      <c r="B19" s="415" t="s">
        <v>143</v>
      </c>
      <c r="C19" s="466">
        <v>0</v>
      </c>
      <c r="D19" s="1255" t="s">
        <v>688</v>
      </c>
      <c r="E19" s="1256"/>
      <c r="F19" s="1257"/>
      <c r="G19" s="408"/>
      <c r="H19" s="419" t="s">
        <v>384</v>
      </c>
      <c r="I19" s="417" t="str">
        <f>IF(AND($C$12=1,$C$7+$C$8+$C$9+$C$10+$C$11=0,$C$13=1),"ДА","НЕТ")</f>
        <v>НЕТ</v>
      </c>
      <c r="J19" s="328"/>
      <c r="K19" s="322">
        <f t="shared" si="0"/>
        <v>0</v>
      </c>
      <c r="L19" s="408"/>
      <c r="M19" s="408"/>
    </row>
    <row r="20" spans="1:13" ht="12">
      <c r="A20" s="492"/>
      <c r="B20" s="445"/>
      <c r="C20" s="445"/>
      <c r="D20" s="445"/>
      <c r="E20" s="444"/>
      <c r="F20" s="442"/>
      <c r="G20" s="408"/>
      <c r="H20" s="416" t="s">
        <v>388</v>
      </c>
      <c r="I20" s="417" t="str">
        <f>IF(AND($C$12=1,$C$7+$C$8+$C$9+$C$10+$C$11=0,$C$13=2),"ДА","НЕТ")</f>
        <v>НЕТ</v>
      </c>
      <c r="J20" s="328"/>
      <c r="K20" s="322">
        <f t="shared" si="0"/>
        <v>0</v>
      </c>
      <c r="L20" s="408"/>
      <c r="M20" s="408"/>
    </row>
    <row r="21" spans="1:13" ht="12.75" thickBot="1">
      <c r="A21" s="492"/>
      <c r="B21" s="445"/>
      <c r="C21" s="445"/>
      <c r="D21" s="445"/>
      <c r="E21" s="444"/>
      <c r="F21" s="442"/>
      <c r="G21" s="408"/>
      <c r="H21" s="440" t="s">
        <v>389</v>
      </c>
      <c r="I21" s="441" t="str">
        <f>IF(AND($C$12=1,$C$7+$C$8+$C$9+$C$10+$C$11=0,$C$13=2),"ДА","НЕТ")</f>
        <v>НЕТ</v>
      </c>
      <c r="J21" s="335"/>
      <c r="K21" s="478">
        <f t="shared" si="0"/>
        <v>0</v>
      </c>
      <c r="L21" s="408"/>
      <c r="M21" s="408"/>
    </row>
    <row r="22" spans="1:13" ht="12.75">
      <c r="A22" s="408"/>
      <c r="B22" s="447" t="s">
        <v>5</v>
      </c>
      <c r="C22" s="448" t="s">
        <v>0</v>
      </c>
      <c r="D22" s="449" t="s">
        <v>4</v>
      </c>
      <c r="E22" s="450" t="s">
        <v>8</v>
      </c>
      <c r="F22" s="444"/>
      <c r="G22" s="408"/>
      <c r="H22" s="408"/>
      <c r="I22" s="408"/>
      <c r="J22" s="408"/>
      <c r="K22" s="408"/>
      <c r="L22" s="408"/>
      <c r="M22" s="408"/>
    </row>
    <row r="23" spans="1:13">
      <c r="A23" s="408"/>
      <c r="B23" s="452" t="s">
        <v>399</v>
      </c>
      <c r="C23" s="345">
        <f>C14*2*(C4+C5+C6)</f>
        <v>0</v>
      </c>
      <c r="D23" s="356"/>
      <c r="E23" s="347">
        <f>C23*D23</f>
        <v>0</v>
      </c>
      <c r="F23" s="442"/>
      <c r="G23" s="408"/>
      <c r="H23" s="408"/>
      <c r="I23" s="408"/>
      <c r="J23" s="408"/>
      <c r="K23" s="408"/>
      <c r="L23" s="408"/>
      <c r="M23" s="408"/>
    </row>
    <row r="24" spans="1:13">
      <c r="A24" s="408"/>
      <c r="B24" s="452" t="s">
        <v>400</v>
      </c>
      <c r="C24" s="345">
        <f>C15*(C4+C5+C6)</f>
        <v>0</v>
      </c>
      <c r="D24" s="356"/>
      <c r="E24" s="347">
        <f t="shared" ref="E24:E57" si="1">C24*D24</f>
        <v>0</v>
      </c>
      <c r="F24" s="445"/>
      <c r="G24" s="408"/>
      <c r="H24" s="408"/>
      <c r="I24" s="408"/>
      <c r="J24" s="408"/>
      <c r="K24" s="408"/>
      <c r="L24" s="408"/>
      <c r="M24" s="408"/>
    </row>
    <row r="25" spans="1:13">
      <c r="A25" s="408"/>
      <c r="B25" s="454" t="s">
        <v>479</v>
      </c>
      <c r="C25" s="350">
        <f>IF(AND((C4+C5+C6)&gt;0.9,C16=0,C2&lt;=1),(C4+C5+C6)*2,IF(AND((C4+C5+C6)&gt;0.9,C16=0,C2&lt;=1.5),(C4+C5+C6)*3,IF(AND((C4+C5+C6)&gt;0.9,C16=0,C2&lt;=2),(C4+C5+C6)*4,IF(AND((C4+C5+C6)&gt;0.9,C16=0,C2&lt;=2.5),(C4+C5+C6)*5,IF(AND((C4+C5+C6)&gt;0.9,C16=0,C2&lt;=3),(C4+C5+C6)*6,IF(AND((C4+C5+C6)&gt;0.9,C16=0,C2&lt;=3.5),(C4+C5+C6)*7,IF(AND((C4+C5+C6)&gt;0.9,C16=0,C2&lt;=4),(C4+C5+C6)*8,IF(AND((C4+C5+C6)&gt;0.9,C16=0,C2&lt;=4.5),(C4+C5+C6)*9,IF(AND((C4+C5+C6)&gt;0.9,C16=0,C2&lt;=5),(C4+C5+C6)*10,0)))))))))</f>
        <v>0</v>
      </c>
      <c r="D25" s="356"/>
      <c r="E25" s="347">
        <f t="shared" si="1"/>
        <v>0</v>
      </c>
      <c r="F25" s="442"/>
      <c r="G25" s="408"/>
      <c r="H25" s="408"/>
      <c r="I25" s="408"/>
      <c r="J25" s="408"/>
      <c r="K25" s="408"/>
      <c r="L25" s="408"/>
      <c r="M25" s="408"/>
    </row>
    <row r="26" spans="1:13">
      <c r="A26" s="408"/>
      <c r="B26" s="454" t="s">
        <v>721</v>
      </c>
      <c r="C26" s="350">
        <f>(C4+C5+C6)*2</f>
        <v>0</v>
      </c>
      <c r="D26" s="356"/>
      <c r="E26" s="347">
        <f t="shared" si="1"/>
        <v>0</v>
      </c>
      <c r="F26" s="442"/>
      <c r="G26" s="408"/>
      <c r="H26" s="408"/>
      <c r="I26" s="408"/>
      <c r="J26" s="408"/>
      <c r="K26" s="408"/>
      <c r="L26" s="408"/>
      <c r="M26" s="408"/>
    </row>
    <row r="27" spans="1:13">
      <c r="A27" s="408"/>
      <c r="B27" s="454" t="s">
        <v>477</v>
      </c>
      <c r="C27" s="350">
        <f>(C4+C6+C5)*C2</f>
        <v>0</v>
      </c>
      <c r="D27" s="356"/>
      <c r="E27" s="347">
        <f t="shared" si="1"/>
        <v>0</v>
      </c>
      <c r="F27" s="444"/>
      <c r="G27" s="408"/>
      <c r="H27" s="408"/>
      <c r="I27" s="408"/>
      <c r="J27" s="408"/>
      <c r="K27" s="408"/>
      <c r="L27" s="408"/>
      <c r="M27" s="408"/>
    </row>
    <row r="28" spans="1:13">
      <c r="A28" s="408"/>
      <c r="B28" s="452" t="s">
        <v>474</v>
      </c>
      <c r="C28" s="345">
        <f>C5*C2</f>
        <v>0</v>
      </c>
      <c r="D28" s="356"/>
      <c r="E28" s="347">
        <f t="shared" si="1"/>
        <v>0</v>
      </c>
      <c r="F28" s="442"/>
      <c r="G28" s="408"/>
      <c r="H28" s="408"/>
      <c r="I28" s="408"/>
      <c r="J28" s="408"/>
      <c r="K28" s="408"/>
      <c r="L28" s="408"/>
      <c r="M28" s="408"/>
    </row>
    <row r="29" spans="1:13">
      <c r="A29" s="408"/>
      <c r="B29" s="454" t="s">
        <v>401</v>
      </c>
      <c r="C29" s="350">
        <f>(C14+C15)*C2*(C4+C5+C6)</f>
        <v>0</v>
      </c>
      <c r="D29" s="356"/>
      <c r="E29" s="347">
        <f t="shared" si="1"/>
        <v>0</v>
      </c>
      <c r="F29" s="442"/>
      <c r="G29" s="408"/>
      <c r="H29" s="408"/>
      <c r="I29" s="408"/>
      <c r="J29" s="408"/>
      <c r="K29" s="408"/>
      <c r="L29" s="408"/>
      <c r="M29" s="408"/>
    </row>
    <row r="30" spans="1:13">
      <c r="A30" s="408"/>
      <c r="B30" s="454" t="s">
        <v>402</v>
      </c>
      <c r="C30" s="350">
        <f>C15*C2*(C4+C5+C6)</f>
        <v>0</v>
      </c>
      <c r="D30" s="356"/>
      <c r="E30" s="347">
        <f t="shared" si="1"/>
        <v>0</v>
      </c>
      <c r="F30" s="445"/>
      <c r="G30" s="408"/>
      <c r="H30" s="408"/>
      <c r="I30" s="408"/>
      <c r="J30" s="408"/>
      <c r="K30" s="408"/>
      <c r="L30" s="408"/>
      <c r="M30" s="408"/>
    </row>
    <row r="31" spans="1:13">
      <c r="A31" s="408"/>
      <c r="B31" s="454" t="s">
        <v>525</v>
      </c>
      <c r="C31" s="350">
        <f>C4*C2</f>
        <v>0</v>
      </c>
      <c r="D31" s="356"/>
      <c r="E31" s="347">
        <f>C31*D31</f>
        <v>0</v>
      </c>
      <c r="F31" s="445"/>
      <c r="G31" s="408"/>
      <c r="H31" s="408"/>
      <c r="I31" s="408"/>
      <c r="J31" s="408"/>
      <c r="K31" s="408"/>
      <c r="L31" s="408"/>
      <c r="M31" s="408"/>
    </row>
    <row r="32" spans="1:13">
      <c r="A32" s="408"/>
      <c r="B32" s="452" t="s">
        <v>451</v>
      </c>
      <c r="C32" s="350">
        <f>C2*C5</f>
        <v>0</v>
      </c>
      <c r="D32" s="356"/>
      <c r="E32" s="347">
        <f t="shared" si="1"/>
        <v>0</v>
      </c>
      <c r="F32" s="445"/>
      <c r="G32" s="408"/>
      <c r="H32" s="408"/>
      <c r="I32" s="408"/>
      <c r="J32" s="408"/>
      <c r="K32" s="408"/>
      <c r="L32" s="408"/>
      <c r="M32" s="408"/>
    </row>
    <row r="33" spans="1:13">
      <c r="A33" s="408"/>
      <c r="B33" s="452" t="s">
        <v>450</v>
      </c>
      <c r="C33" s="345">
        <f>C2*C6</f>
        <v>0</v>
      </c>
      <c r="D33" s="356"/>
      <c r="E33" s="347">
        <f t="shared" si="1"/>
        <v>0</v>
      </c>
      <c r="F33" s="445"/>
      <c r="G33" s="408"/>
      <c r="H33" s="408"/>
      <c r="I33" s="408"/>
      <c r="J33" s="408"/>
      <c r="K33" s="408"/>
      <c r="L33" s="408"/>
      <c r="M33" s="408"/>
    </row>
    <row r="34" spans="1:13">
      <c r="A34" s="408"/>
      <c r="B34" s="454" t="s">
        <v>828</v>
      </c>
      <c r="C34" s="350">
        <f>C6+C5+C4</f>
        <v>0</v>
      </c>
      <c r="D34" s="356"/>
      <c r="E34" s="347">
        <f t="shared" si="1"/>
        <v>0</v>
      </c>
      <c r="F34" s="442"/>
      <c r="G34" s="408"/>
      <c r="H34" s="408"/>
      <c r="I34" s="408"/>
      <c r="J34" s="408"/>
      <c r="K34" s="408"/>
      <c r="L34" s="408"/>
      <c r="M34" s="408"/>
    </row>
    <row r="35" spans="1:13">
      <c r="A35" s="408"/>
      <c r="B35" s="454" t="s">
        <v>475</v>
      </c>
      <c r="C35" s="350">
        <f>C6</f>
        <v>0</v>
      </c>
      <c r="D35" s="356">
        <v>1</v>
      </c>
      <c r="E35" s="347">
        <f t="shared" si="1"/>
        <v>0</v>
      </c>
      <c r="F35" s="442"/>
      <c r="G35" s="408"/>
      <c r="H35" s="408"/>
      <c r="I35" s="408"/>
      <c r="J35" s="408"/>
      <c r="K35" s="408"/>
      <c r="L35" s="408"/>
      <c r="M35" s="408"/>
    </row>
    <row r="36" spans="1:13">
      <c r="A36" s="408"/>
      <c r="B36" s="454" t="s">
        <v>367</v>
      </c>
      <c r="C36" s="350">
        <f>C5</f>
        <v>0</v>
      </c>
      <c r="D36" s="356"/>
      <c r="E36" s="347">
        <f t="shared" si="1"/>
        <v>0</v>
      </c>
      <c r="F36" s="442"/>
      <c r="G36" s="408"/>
      <c r="H36" s="408"/>
      <c r="I36" s="408"/>
      <c r="J36" s="408"/>
      <c r="K36" s="408"/>
      <c r="L36" s="408"/>
      <c r="M36" s="408"/>
    </row>
    <row r="37" spans="1:13">
      <c r="A37" s="408"/>
      <c r="B37" s="454" t="s">
        <v>480</v>
      </c>
      <c r="C37" s="350">
        <f>(C4+C6)*C2</f>
        <v>0</v>
      </c>
      <c r="D37" s="356"/>
      <c r="E37" s="347">
        <f t="shared" si="1"/>
        <v>0</v>
      </c>
      <c r="F37" s="442"/>
      <c r="G37" s="408"/>
      <c r="H37" s="408"/>
      <c r="I37" s="408"/>
      <c r="J37" s="408"/>
      <c r="K37" s="408"/>
      <c r="L37" s="408"/>
      <c r="M37" s="408"/>
    </row>
    <row r="38" spans="1:13">
      <c r="A38" s="408"/>
      <c r="B38" s="454" t="s">
        <v>368</v>
      </c>
      <c r="C38" s="350">
        <f>(C4+C6+C5)*4</f>
        <v>0</v>
      </c>
      <c r="D38" s="356"/>
      <c r="E38" s="347">
        <f t="shared" si="1"/>
        <v>0</v>
      </c>
      <c r="F38" s="442"/>
      <c r="G38" s="408"/>
      <c r="H38" s="408"/>
      <c r="I38" s="408"/>
      <c r="J38" s="408"/>
      <c r="K38" s="408"/>
      <c r="L38" s="408"/>
      <c r="M38" s="408"/>
    </row>
    <row r="39" spans="1:13">
      <c r="A39" s="408"/>
      <c r="B39" s="455" t="s">
        <v>454</v>
      </c>
      <c r="C39" s="402">
        <f>C5+C4</f>
        <v>0</v>
      </c>
      <c r="D39" s="356"/>
      <c r="E39" s="403">
        <f t="shared" si="1"/>
        <v>0</v>
      </c>
      <c r="F39" s="442"/>
      <c r="G39" s="408"/>
      <c r="H39" s="408"/>
      <c r="I39" s="408"/>
      <c r="J39" s="408"/>
      <c r="K39" s="408"/>
      <c r="L39" s="408"/>
      <c r="M39" s="408"/>
    </row>
    <row r="40" spans="1:13">
      <c r="A40" s="408"/>
      <c r="B40" s="455" t="s">
        <v>375</v>
      </c>
      <c r="C40" s="402">
        <f>(C7+C8)*(C4+C5)</f>
        <v>0</v>
      </c>
      <c r="D40" s="356"/>
      <c r="E40" s="403">
        <f t="shared" si="1"/>
        <v>0</v>
      </c>
      <c r="F40" s="442"/>
      <c r="G40" s="408"/>
      <c r="H40" s="408"/>
      <c r="I40" s="408"/>
      <c r="J40" s="408"/>
      <c r="K40" s="408"/>
      <c r="L40" s="408"/>
      <c r="M40" s="408"/>
    </row>
    <row r="41" spans="1:13">
      <c r="A41" s="408"/>
      <c r="B41" s="455" t="s">
        <v>497</v>
      </c>
      <c r="C41" s="402">
        <f>C8*C5</f>
        <v>0</v>
      </c>
      <c r="D41" s="356"/>
      <c r="E41" s="403">
        <f t="shared" si="1"/>
        <v>0</v>
      </c>
      <c r="F41" s="442"/>
      <c r="G41" s="408"/>
      <c r="H41" s="408"/>
      <c r="I41" s="408"/>
      <c r="J41" s="408"/>
      <c r="K41" s="408"/>
      <c r="L41" s="408"/>
      <c r="M41" s="408"/>
    </row>
    <row r="42" spans="1:13">
      <c r="A42" s="408"/>
      <c r="B42" s="455" t="s">
        <v>377</v>
      </c>
      <c r="C42" s="402">
        <f>C9*C6</f>
        <v>0</v>
      </c>
      <c r="D42" s="356"/>
      <c r="E42" s="403">
        <f t="shared" si="1"/>
        <v>0</v>
      </c>
      <c r="F42" s="442"/>
      <c r="G42" s="408"/>
      <c r="H42" s="408"/>
      <c r="I42" s="408"/>
      <c r="J42" s="408"/>
      <c r="K42" s="408"/>
      <c r="L42" s="408"/>
      <c r="M42" s="408"/>
    </row>
    <row r="43" spans="1:13">
      <c r="A43" s="408"/>
      <c r="B43" s="455" t="s">
        <v>378</v>
      </c>
      <c r="C43" s="402">
        <f>C9*C6</f>
        <v>0</v>
      </c>
      <c r="D43" s="356"/>
      <c r="E43" s="403">
        <f t="shared" si="1"/>
        <v>0</v>
      </c>
      <c r="F43" s="442"/>
      <c r="G43" s="408"/>
      <c r="H43" s="408"/>
      <c r="I43" s="408"/>
      <c r="J43" s="408"/>
      <c r="K43" s="408"/>
      <c r="L43" s="408"/>
      <c r="M43" s="408"/>
    </row>
    <row r="44" spans="1:13">
      <c r="A44" s="408"/>
      <c r="B44" s="455" t="s">
        <v>380</v>
      </c>
      <c r="C44" s="402">
        <f>C11*C5</f>
        <v>0</v>
      </c>
      <c r="D44" s="356"/>
      <c r="E44" s="403">
        <f t="shared" si="1"/>
        <v>0</v>
      </c>
      <c r="F44" s="442"/>
      <c r="G44" s="408"/>
      <c r="H44" s="408"/>
      <c r="I44" s="408"/>
      <c r="J44" s="408"/>
      <c r="K44" s="408"/>
      <c r="L44" s="408"/>
      <c r="M44" s="408"/>
    </row>
    <row r="45" spans="1:13">
      <c r="A45" s="408"/>
      <c r="B45" s="455" t="s">
        <v>529</v>
      </c>
      <c r="C45" s="402">
        <f>(C10+C11)*(C4+C5)</f>
        <v>0</v>
      </c>
      <c r="D45" s="356"/>
      <c r="E45" s="403">
        <f t="shared" si="1"/>
        <v>0</v>
      </c>
      <c r="F45" s="442"/>
      <c r="G45" s="408"/>
      <c r="H45" s="408"/>
      <c r="I45" s="408"/>
      <c r="J45" s="408"/>
      <c r="K45" s="408"/>
      <c r="L45" s="408"/>
      <c r="M45" s="408"/>
    </row>
    <row r="46" spans="1:13">
      <c r="A46" s="408"/>
      <c r="B46" s="455" t="s">
        <v>386</v>
      </c>
      <c r="C46" s="402">
        <f>C12*C6</f>
        <v>0</v>
      </c>
      <c r="D46" s="356"/>
      <c r="E46" s="403">
        <f t="shared" si="1"/>
        <v>0</v>
      </c>
      <c r="F46" s="442"/>
      <c r="G46" s="408"/>
      <c r="H46" s="408"/>
      <c r="I46" s="408"/>
      <c r="J46" s="408"/>
      <c r="K46" s="408"/>
      <c r="L46" s="408"/>
      <c r="M46" s="408"/>
    </row>
    <row r="47" spans="1:13" hidden="1">
      <c r="A47" s="408"/>
      <c r="B47" s="455" t="s">
        <v>528</v>
      </c>
      <c r="C47" s="402">
        <f>(C7+C10)*C4</f>
        <v>0</v>
      </c>
      <c r="D47" s="356"/>
      <c r="E47" s="403">
        <f>C47*D47</f>
        <v>0</v>
      </c>
      <c r="F47" s="442"/>
      <c r="G47" s="408"/>
      <c r="H47" s="408"/>
      <c r="I47" s="408"/>
      <c r="J47" s="408"/>
      <c r="K47" s="408"/>
      <c r="L47" s="408"/>
      <c r="M47" s="408"/>
    </row>
    <row r="48" spans="1:13">
      <c r="A48" s="408"/>
      <c r="B48" s="455" t="s">
        <v>387</v>
      </c>
      <c r="C48" s="402">
        <f>C12*C6</f>
        <v>0</v>
      </c>
      <c r="D48" s="356"/>
      <c r="E48" s="403">
        <f t="shared" si="1"/>
        <v>0</v>
      </c>
      <c r="F48" s="442"/>
      <c r="G48" s="408"/>
      <c r="H48" s="408"/>
      <c r="I48" s="408"/>
      <c r="J48" s="408"/>
      <c r="K48" s="408"/>
      <c r="L48" s="408"/>
      <c r="M48" s="408"/>
    </row>
    <row r="49" spans="1:13">
      <c r="A49" s="408"/>
      <c r="B49" s="454" t="s">
        <v>630</v>
      </c>
      <c r="C49" s="350">
        <f>C2*(C4+C5+C6)</f>
        <v>0</v>
      </c>
      <c r="D49" s="351"/>
      <c r="E49" s="347">
        <f t="shared" si="1"/>
        <v>0</v>
      </c>
      <c r="F49" s="442"/>
      <c r="G49" s="408"/>
      <c r="H49" s="408"/>
      <c r="I49" s="408"/>
      <c r="J49" s="408"/>
      <c r="K49" s="408"/>
      <c r="L49" s="408"/>
      <c r="M49" s="408"/>
    </row>
    <row r="50" spans="1:13">
      <c r="A50" s="408"/>
      <c r="B50" s="528" t="s">
        <v>631</v>
      </c>
      <c r="C50" s="509">
        <f>C2*(C4+C5+C6)</f>
        <v>0</v>
      </c>
      <c r="D50" s="356"/>
      <c r="E50" s="403">
        <f t="shared" si="1"/>
        <v>0</v>
      </c>
      <c r="F50" s="442"/>
      <c r="G50" s="408"/>
      <c r="H50" s="408"/>
      <c r="I50" s="408"/>
      <c r="J50" s="408"/>
      <c r="K50" s="408"/>
      <c r="L50" s="408"/>
      <c r="M50" s="408"/>
    </row>
    <row r="51" spans="1:13">
      <c r="A51" s="408"/>
      <c r="B51" s="528" t="s">
        <v>632</v>
      </c>
      <c r="C51" s="509">
        <f>C5+C6+C4</f>
        <v>0</v>
      </c>
      <c r="D51" s="356"/>
      <c r="E51" s="403">
        <f t="shared" si="1"/>
        <v>0</v>
      </c>
      <c r="F51" s="442"/>
      <c r="G51" s="408"/>
      <c r="H51" s="408"/>
      <c r="I51" s="408"/>
      <c r="J51" s="408"/>
      <c r="K51" s="408"/>
      <c r="L51" s="408"/>
      <c r="M51" s="408"/>
    </row>
    <row r="52" spans="1:13">
      <c r="A52" s="408"/>
      <c r="B52" s="528" t="s">
        <v>633</v>
      </c>
      <c r="C52" s="509">
        <f>C4+C5+C6</f>
        <v>0</v>
      </c>
      <c r="D52" s="356"/>
      <c r="E52" s="403">
        <f t="shared" si="1"/>
        <v>0</v>
      </c>
      <c r="F52" s="442"/>
      <c r="G52" s="408"/>
      <c r="H52" s="408"/>
      <c r="I52" s="408"/>
      <c r="J52" s="408"/>
      <c r="K52" s="408"/>
      <c r="L52" s="408"/>
      <c r="M52" s="408"/>
    </row>
    <row r="53" spans="1:13">
      <c r="A53" s="408"/>
      <c r="B53" s="528" t="s">
        <v>455</v>
      </c>
      <c r="C53" s="509">
        <f>(C4+C5+C6)*2</f>
        <v>0</v>
      </c>
      <c r="D53" s="356"/>
      <c r="E53" s="403">
        <f t="shared" si="1"/>
        <v>0</v>
      </c>
      <c r="F53" s="442"/>
      <c r="G53" s="408"/>
      <c r="H53" s="408"/>
      <c r="I53" s="408"/>
      <c r="J53" s="408"/>
      <c r="K53" s="408"/>
      <c r="L53" s="408"/>
      <c r="M53" s="408"/>
    </row>
    <row r="54" spans="1:13">
      <c r="A54" s="408"/>
      <c r="B54" s="528" t="s">
        <v>145</v>
      </c>
      <c r="C54" s="509">
        <f>C18</f>
        <v>0</v>
      </c>
      <c r="D54" s="525"/>
      <c r="E54" s="403">
        <f t="shared" si="1"/>
        <v>0</v>
      </c>
      <c r="F54" s="442"/>
      <c r="G54" s="408"/>
      <c r="H54" s="408"/>
      <c r="I54" s="408"/>
      <c r="J54" s="408"/>
      <c r="K54" s="408"/>
      <c r="L54" s="408"/>
      <c r="M54" s="408"/>
    </row>
    <row r="55" spans="1:13">
      <c r="A55" s="408"/>
      <c r="B55" s="528" t="s">
        <v>148</v>
      </c>
      <c r="C55" s="509">
        <f>C17</f>
        <v>0</v>
      </c>
      <c r="D55" s="525"/>
      <c r="E55" s="403">
        <f t="shared" si="1"/>
        <v>0</v>
      </c>
      <c r="F55" s="442"/>
      <c r="G55" s="408"/>
      <c r="H55" s="408"/>
      <c r="I55" s="408"/>
      <c r="J55" s="408"/>
      <c r="K55" s="408"/>
      <c r="L55" s="408"/>
      <c r="M55" s="408"/>
    </row>
    <row r="56" spans="1:13">
      <c r="A56" s="408"/>
      <c r="B56" s="528" t="s">
        <v>689</v>
      </c>
      <c r="C56" s="509">
        <f>C19</f>
        <v>0</v>
      </c>
      <c r="D56" s="525"/>
      <c r="E56" s="403">
        <f t="shared" si="1"/>
        <v>0</v>
      </c>
      <c r="F56" s="442"/>
      <c r="G56" s="408"/>
      <c r="H56" s="408"/>
      <c r="I56" s="408"/>
      <c r="J56" s="408"/>
      <c r="K56" s="408"/>
      <c r="L56" s="408"/>
      <c r="M56" s="408"/>
    </row>
    <row r="57" spans="1:13" ht="12" thickBot="1">
      <c r="A57" s="408"/>
      <c r="B57" s="529" t="s">
        <v>634</v>
      </c>
      <c r="C57" s="511">
        <f>IF(AND((C4+C5+C6)&gt;0.9,C16=1,C2&lt;=1),(C4+C5+C6)*2,IF(AND((C4+C5+C6)&gt;0.9,C16=1,C2&lt;=1.5),(C4+C5+C6)*3,IF(AND((C4+C5+C6)&gt;0.9,C16=1,C2&lt;=2),(C4+C5+C6)*4,IF(AND((C4+C5+C6)&gt;0.9,C16=1,C2&lt;=2.5),(C4+C5+C6)*5,IF(AND((C4+C5+C6)&gt;0.9,C16=1,C2&lt;=3),(C4+C5+C6)*6,IF(AND((C4+C5+C6)&gt;0.9,C16=1,C2&lt;=3.5),(C4+C5+C6)*7,IF(AND((C4+C5+C6)&gt;0.9,C16=1,C2&lt;=4),(C4+C5+C6)*8,IF(AND((C4+C5+C6)&gt;0.9,C16=1,C2&lt;=4.5),(C4+C5+C6)*9,IF(AND((C4+C5+C6)&gt;0.9,C16=1,C2&lt;=5),(C4+C5+C6)*10,0)))))))))</f>
        <v>0</v>
      </c>
      <c r="D57" s="476"/>
      <c r="E57" s="407">
        <f t="shared" si="1"/>
        <v>0</v>
      </c>
      <c r="F57" s="442"/>
      <c r="G57" s="408"/>
      <c r="H57" s="408"/>
      <c r="I57" s="408"/>
      <c r="J57" s="408"/>
      <c r="K57" s="408"/>
      <c r="L57" s="408"/>
      <c r="M57" s="408"/>
    </row>
    <row r="58" spans="1:13" ht="13.5" thickBot="1">
      <c r="A58" s="408"/>
      <c r="B58" s="442"/>
      <c r="C58" s="442"/>
      <c r="D58" s="458" t="s">
        <v>9</v>
      </c>
      <c r="E58" s="530">
        <f>SUMIF(E23:E57,"&gt;0",E23:E57)</f>
        <v>0</v>
      </c>
      <c r="F58" s="456"/>
      <c r="G58" s="526"/>
      <c r="H58" s="408"/>
      <c r="I58" s="408"/>
      <c r="J58" s="408"/>
      <c r="K58" s="408"/>
      <c r="L58" s="408"/>
      <c r="M58" s="408"/>
    </row>
    <row r="59" spans="1:13" ht="12" customHeight="1">
      <c r="A59" s="408"/>
      <c r="B59" s="408"/>
      <c r="C59" s="408"/>
      <c r="D59" s="408"/>
      <c r="E59" s="408"/>
      <c r="F59" s="408"/>
      <c r="G59" s="408"/>
      <c r="H59" s="408"/>
      <c r="I59" s="408"/>
      <c r="J59" s="408"/>
      <c r="K59" s="408"/>
      <c r="L59" s="408"/>
      <c r="M59" s="408"/>
    </row>
    <row r="60" spans="1:13" ht="11.25" customHeight="1"/>
    <row r="61" spans="1:13" ht="11.25" customHeight="1"/>
    <row r="62" spans="1:13" ht="11.25" customHeight="1"/>
    <row r="63" spans="1:13" ht="11.25" customHeight="1"/>
    <row r="64" spans="1:13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2" customHeight="1"/>
    <row r="79" ht="11.25" customHeight="1"/>
    <row r="80" ht="11.25" customHeight="1"/>
    <row r="81" ht="11.25" customHeight="1"/>
    <row r="82" ht="11.25" customHeight="1"/>
    <row r="83" ht="11.25" customHeight="1"/>
  </sheetData>
  <sheetProtection algorithmName="SHA-512" hashValue="1jFrodOr1HspgzFCt20nD6vMklWV9ISe/kLF0cyaHLGKgjK90ACmQ0sr+B1kbFeutErWCDVnw00G7lfZysZVPA==" saltValue="SliN23KMQcugAbaTMAZgZQ==" spinCount="100000" sheet="1"/>
  <mergeCells count="12">
    <mergeCell ref="K1:M1"/>
    <mergeCell ref="N1:P1"/>
    <mergeCell ref="D2:F3"/>
    <mergeCell ref="D4:F6"/>
    <mergeCell ref="F7:F12"/>
    <mergeCell ref="D18:F18"/>
    <mergeCell ref="D19:F19"/>
    <mergeCell ref="B1:D1"/>
    <mergeCell ref="E1:G1"/>
    <mergeCell ref="H1:J1"/>
    <mergeCell ref="F14:F15"/>
    <mergeCell ref="D17:F17"/>
  </mergeCells>
  <conditionalFormatting sqref="C13">
    <cfRule type="cellIs" dxfId="623" priority="9" operator="greaterThan">
      <formula>0</formula>
    </cfRule>
  </conditionalFormatting>
  <conditionalFormatting sqref="C13">
    <cfRule type="cellIs" dxfId="622" priority="10" operator="greaterThan">
      <formula>0</formula>
    </cfRule>
  </conditionalFormatting>
  <conditionalFormatting sqref="C2:C16">
    <cfRule type="cellIs" dxfId="621" priority="8" operator="greaterThan">
      <formula>0</formula>
    </cfRule>
  </conditionalFormatting>
  <conditionalFormatting sqref="C23:E57">
    <cfRule type="cellIs" dxfId="620" priority="7" operator="greaterThan">
      <formula>0</formula>
    </cfRule>
  </conditionalFormatting>
  <conditionalFormatting sqref="E58">
    <cfRule type="cellIs" dxfId="619" priority="6" operator="greaterThan">
      <formula>0</formula>
    </cfRule>
  </conditionalFormatting>
  <conditionalFormatting sqref="I3:I21">
    <cfRule type="cellIs" dxfId="618" priority="2" operator="equal">
      <formula>"ДА"</formula>
    </cfRule>
    <cfRule type="cellIs" dxfId="617" priority="3" operator="equal">
      <formula>"НЕТ"</formula>
    </cfRule>
  </conditionalFormatting>
  <conditionalFormatting sqref="I3:I21">
    <cfRule type="colorScale" priority="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616" priority="5" operator="greaterThan">
      <formula>0</formula>
    </cfRule>
  </conditionalFormatting>
  <conditionalFormatting sqref="C17:C19">
    <cfRule type="cellIs" dxfId="61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M110"/>
  <sheetViews>
    <sheetView workbookViewId="0">
      <pane ySplit="27" topLeftCell="A69" activePane="bottomLeft" state="frozen"/>
      <selection pane="bottomLeft" activeCell="I73" sqref="I73"/>
    </sheetView>
  </sheetViews>
  <sheetFormatPr defaultRowHeight="11.25"/>
  <cols>
    <col min="2" max="2" width="59.33203125" customWidth="1"/>
    <col min="3" max="3" width="10.6640625" customWidth="1"/>
    <col min="4" max="4" width="15.1640625" customWidth="1"/>
    <col min="5" max="5" width="17.33203125" customWidth="1"/>
    <col min="6" max="6" width="27.83203125" customWidth="1"/>
    <col min="7" max="7" width="6.1640625" customWidth="1"/>
    <col min="8" max="8" width="50.5" customWidth="1"/>
    <col min="9" max="9" width="5.1640625" customWidth="1"/>
  </cols>
  <sheetData>
    <row r="1" spans="2:13" ht="50.25" customHeight="1" thickBot="1">
      <c r="B1" s="1168"/>
      <c r="C1" s="1169"/>
      <c r="D1" s="1169"/>
    </row>
    <row r="2" spans="2:13" ht="11.25" customHeight="1" thickBot="1">
      <c r="B2" s="503" t="s">
        <v>10</v>
      </c>
      <c r="C2" s="461">
        <v>1.85</v>
      </c>
      <c r="D2" s="1238" t="s">
        <v>595</v>
      </c>
      <c r="E2" s="1239"/>
      <c r="F2" s="1240"/>
      <c r="G2" s="121"/>
      <c r="H2" s="412" t="s">
        <v>485</v>
      </c>
      <c r="I2" s="413" t="s">
        <v>604</v>
      </c>
      <c r="J2" s="479" t="s">
        <v>4</v>
      </c>
      <c r="K2" s="480" t="s">
        <v>8</v>
      </c>
    </row>
    <row r="3" spans="2:13" ht="12.75" thickBot="1">
      <c r="B3" s="504" t="s">
        <v>1</v>
      </c>
      <c r="C3" s="462">
        <v>1.1000000000000001</v>
      </c>
      <c r="D3" s="1241"/>
      <c r="E3" s="1242"/>
      <c r="F3" s="1243"/>
      <c r="H3" s="574" t="s">
        <v>372</v>
      </c>
      <c r="I3" s="575" t="str">
        <f>IF(AND($C$7+$C$8=1,$C$9+$C$10+$C$11+$C$12=0,$C$13=2),"ДА","НЕТ")</f>
        <v>ДА</v>
      </c>
      <c r="J3" s="576"/>
      <c r="K3" s="577">
        <f>IF(I3="ДА",($C$4+$C$5+$C$6)*J3,0)</f>
        <v>0</v>
      </c>
    </row>
    <row r="4" spans="2:13" ht="12" customHeight="1">
      <c r="B4" s="503" t="s">
        <v>530</v>
      </c>
      <c r="C4" s="467">
        <v>1</v>
      </c>
      <c r="D4" s="1238" t="s">
        <v>597</v>
      </c>
      <c r="E4" s="1239"/>
      <c r="F4" s="1261"/>
      <c r="G4" s="250"/>
      <c r="H4" s="419" t="s">
        <v>373</v>
      </c>
      <c r="I4" s="417" t="str">
        <f>IF(AND($C$7+$C$8=1,$C$9+$C$10+$C$11+$C$12=0,$C$13=2),"ДА","НЕТ")</f>
        <v>ДА</v>
      </c>
      <c r="J4" s="398"/>
      <c r="K4" s="322">
        <f t="shared" ref="K4:K21" si="0">IF(I4="ДА",($C$4+$C$5+$C$6)*J4,0)</f>
        <v>0</v>
      </c>
    </row>
    <row r="5" spans="2:13" ht="12">
      <c r="B5" s="505" t="s">
        <v>396</v>
      </c>
      <c r="C5" s="465">
        <v>0</v>
      </c>
      <c r="D5" s="1258"/>
      <c r="E5" s="1244"/>
      <c r="F5" s="1262"/>
      <c r="G5" s="250"/>
      <c r="H5" s="419" t="s">
        <v>374</v>
      </c>
      <c r="I5" s="417" t="str">
        <f>IF(AND($C$7+$C$8=1,$C$9+$C$10+$C$11+$C$12=0,$C$13=2),"ДА","НЕТ")</f>
        <v>ДА</v>
      </c>
      <c r="J5" s="398"/>
      <c r="K5" s="322">
        <f t="shared" si="0"/>
        <v>0</v>
      </c>
    </row>
    <row r="6" spans="2:13" ht="12.75" thickBot="1">
      <c r="B6" s="506" t="s">
        <v>392</v>
      </c>
      <c r="C6" s="469">
        <v>0</v>
      </c>
      <c r="D6" s="1258"/>
      <c r="E6" s="1244"/>
      <c r="F6" s="1262"/>
      <c r="H6" s="421" t="s">
        <v>376</v>
      </c>
      <c r="I6" s="417" t="str">
        <f>IF(AND($C$7+$C$8=1,$C$9+$C$10+$C$11+$C$12=0,$C$13=3),"ДА","НЕТ")</f>
        <v>НЕТ</v>
      </c>
      <c r="J6" s="325"/>
      <c r="K6" s="322">
        <f t="shared" si="0"/>
        <v>0</v>
      </c>
    </row>
    <row r="7" spans="2:13" ht="12" customHeight="1">
      <c r="B7" s="503" t="s">
        <v>521</v>
      </c>
      <c r="C7" s="467">
        <v>1</v>
      </c>
      <c r="D7" s="513" t="s">
        <v>287</v>
      </c>
      <c r="E7" s="367" t="s">
        <v>255</v>
      </c>
      <c r="F7" s="1246" t="s">
        <v>596</v>
      </c>
      <c r="H7" s="419" t="s">
        <v>489</v>
      </c>
      <c r="I7" s="417" t="str">
        <f>IF(AND($C$9=1,$C$7+$C$8+$C$10+$C$11+$C$12=0,$C$13=1),"ДА","НЕТ")</f>
        <v>НЕТ</v>
      </c>
      <c r="J7" s="398"/>
      <c r="K7" s="322">
        <f t="shared" si="0"/>
        <v>0</v>
      </c>
    </row>
    <row r="8" spans="2:13" ht="12">
      <c r="B8" s="505" t="s">
        <v>490</v>
      </c>
      <c r="C8" s="465">
        <v>0</v>
      </c>
      <c r="D8" s="370" t="s">
        <v>287</v>
      </c>
      <c r="E8" s="369" t="s">
        <v>255</v>
      </c>
      <c r="F8" s="1247"/>
      <c r="H8" s="421" t="s">
        <v>486</v>
      </c>
      <c r="I8" s="417" t="str">
        <f>IF(AND($C$9=1,$C$7+$C$8+$C$10+$C$11+$C$12=0,$C$13=3),"ДА","НЕТ")</f>
        <v>НЕТ</v>
      </c>
      <c r="J8" s="325"/>
      <c r="K8" s="322">
        <f t="shared" si="0"/>
        <v>0</v>
      </c>
    </row>
    <row r="9" spans="2:13" ht="12">
      <c r="B9" s="521" t="s">
        <v>491</v>
      </c>
      <c r="C9" s="464">
        <v>0</v>
      </c>
      <c r="D9" s="370" t="s">
        <v>287</v>
      </c>
      <c r="E9" s="369" t="s">
        <v>255</v>
      </c>
      <c r="F9" s="1247"/>
      <c r="G9" s="251"/>
      <c r="H9" s="421" t="s">
        <v>487</v>
      </c>
      <c r="I9" s="417" t="str">
        <f>IF(AND($C$9=1,$C$7+$C$8+$C$10+$C$11+$C$12=0,$C$13=2),"ДА","НЕТ")</f>
        <v>НЕТ</v>
      </c>
      <c r="J9" s="325"/>
      <c r="K9" s="322">
        <f t="shared" si="0"/>
        <v>0</v>
      </c>
    </row>
    <row r="10" spans="2:13" ht="12">
      <c r="B10" s="505" t="s">
        <v>522</v>
      </c>
      <c r="C10" s="465">
        <v>0</v>
      </c>
      <c r="D10" s="514" t="s">
        <v>287</v>
      </c>
      <c r="E10" s="372" t="s">
        <v>255</v>
      </c>
      <c r="F10" s="1247"/>
      <c r="G10" s="251"/>
      <c r="H10" s="421" t="s">
        <v>488</v>
      </c>
      <c r="I10" s="417" t="str">
        <f>IF(AND($C$9=1,$C$7+$C$8+$C$10+$C$11+$C$12=0,$C$13=2),"ДА","НЕТ")</f>
        <v>НЕТ</v>
      </c>
      <c r="J10" s="325"/>
      <c r="K10" s="322">
        <f t="shared" si="0"/>
        <v>0</v>
      </c>
    </row>
    <row r="11" spans="2:13" ht="12">
      <c r="B11" s="505" t="s">
        <v>492</v>
      </c>
      <c r="C11" s="465">
        <v>0</v>
      </c>
      <c r="D11" s="370" t="s">
        <v>287</v>
      </c>
      <c r="E11" s="369" t="s">
        <v>255</v>
      </c>
      <c r="F11" s="1247"/>
      <c r="G11" s="251"/>
      <c r="H11" s="421" t="s">
        <v>494</v>
      </c>
      <c r="I11" s="417" t="str">
        <f>IF(AND($C$9=1,$C$7+$C$8+$C$10+$C$11+$C$12=0,$C$13=2),"ДА","НЕТ")</f>
        <v>НЕТ</v>
      </c>
      <c r="J11" s="325"/>
      <c r="K11" s="322">
        <f t="shared" si="0"/>
        <v>0</v>
      </c>
      <c r="L11" s="251"/>
      <c r="M11" s="251"/>
    </row>
    <row r="12" spans="2:13" ht="12.75" thickBot="1">
      <c r="B12" s="531" t="s">
        <v>493</v>
      </c>
      <c r="C12" s="475">
        <v>0</v>
      </c>
      <c r="D12" s="532" t="s">
        <v>287</v>
      </c>
      <c r="E12" s="522" t="s">
        <v>255</v>
      </c>
      <c r="F12" s="1247"/>
      <c r="H12" s="421" t="s">
        <v>626</v>
      </c>
      <c r="I12" s="417" t="str">
        <f>IF(AND($C$10=1,$C$8+$C$9+$C$7+$C$11+$C$12=0,$C$13=2),"ДА","НЕТ")</f>
        <v>НЕТ</v>
      </c>
      <c r="J12" s="325"/>
      <c r="K12" s="322">
        <f t="shared" si="0"/>
        <v>0</v>
      </c>
      <c r="L12" s="251"/>
      <c r="M12" s="251"/>
    </row>
    <row r="13" spans="2:13" ht="12.75" thickBot="1">
      <c r="B13" s="432" t="s">
        <v>589</v>
      </c>
      <c r="C13" s="468">
        <v>2</v>
      </c>
      <c r="D13" s="474" t="s">
        <v>619</v>
      </c>
      <c r="E13" s="437" t="s">
        <v>620</v>
      </c>
      <c r="F13" s="439" t="s">
        <v>621</v>
      </c>
      <c r="H13" s="421" t="s">
        <v>518</v>
      </c>
      <c r="I13" s="417" t="str">
        <f>IF(AND($C$10=1,$C$8+$C$9+$C$7+$C$11+$C$12=0,$C$13=2),"ДА","НЕТ")</f>
        <v>НЕТ</v>
      </c>
      <c r="J13" s="325"/>
      <c r="K13" s="322">
        <f t="shared" si="0"/>
        <v>0</v>
      </c>
      <c r="L13" s="251"/>
      <c r="M13" s="251"/>
    </row>
    <row r="14" spans="2:13" ht="12.75" thickBot="1">
      <c r="B14" s="515" t="s">
        <v>393</v>
      </c>
      <c r="C14" s="516">
        <v>1</v>
      </c>
      <c r="D14" s="533" t="s">
        <v>394</v>
      </c>
      <c r="E14" s="378" t="s">
        <v>395</v>
      </c>
      <c r="F14" s="561"/>
      <c r="H14" s="421" t="s">
        <v>519</v>
      </c>
      <c r="I14" s="417" t="str">
        <f>IF(AND($C$10=1,$C$8+$C$9+$C$7+$C$11+$C$12=0,$C$13=1),"ДА","НЕТ")</f>
        <v>НЕТ</v>
      </c>
      <c r="J14" s="325"/>
      <c r="K14" s="322">
        <f t="shared" si="0"/>
        <v>0</v>
      </c>
      <c r="L14" s="251"/>
      <c r="M14" s="251"/>
    </row>
    <row r="15" spans="2:13" ht="12.75" thickBot="1">
      <c r="B15" s="507" t="s">
        <v>531</v>
      </c>
      <c r="C15" s="468">
        <v>0</v>
      </c>
      <c r="D15" s="523" t="s">
        <v>287</v>
      </c>
      <c r="E15" s="376" t="s">
        <v>255</v>
      </c>
      <c r="F15" s="473" t="s">
        <v>668</v>
      </c>
      <c r="H15" s="419" t="s">
        <v>379</v>
      </c>
      <c r="I15" s="417" t="str">
        <f>IF(AND($C$11=1,$C$7+$C$9+$C$10+$C$8+$C$12=0,$C$13=2),"ДА","НЕТ")</f>
        <v>НЕТ</v>
      </c>
      <c r="J15" s="328"/>
      <c r="K15" s="322">
        <f>IF(I15="ДА",($C$4+$C$5+$C$6)*J15,0)</f>
        <v>0</v>
      </c>
    </row>
    <row r="16" spans="2:13" ht="12.75" thickBot="1">
      <c r="B16" s="506" t="s">
        <v>481</v>
      </c>
      <c r="C16" s="469">
        <v>0</v>
      </c>
      <c r="D16" s="524" t="s">
        <v>287</v>
      </c>
      <c r="E16" s="374" t="s">
        <v>255</v>
      </c>
      <c r="F16" s="562"/>
      <c r="H16" s="416" t="s">
        <v>381</v>
      </c>
      <c r="I16" s="417" t="str">
        <f>IF(AND($C$11=1,$C$7+$C$9+$C$10+$C$8+$C$12=0,$C$13=1),"ДА","НЕТ")</f>
        <v>НЕТ</v>
      </c>
      <c r="J16" s="328"/>
      <c r="K16" s="322">
        <f t="shared" si="0"/>
        <v>0</v>
      </c>
    </row>
    <row r="17" spans="1:11" ht="12.75" thickBot="1">
      <c r="B17" s="506" t="s">
        <v>412</v>
      </c>
      <c r="C17" s="469">
        <v>1</v>
      </c>
      <c r="D17" s="524" t="s">
        <v>287</v>
      </c>
      <c r="E17" s="374" t="s">
        <v>255</v>
      </c>
      <c r="F17" s="473" t="s">
        <v>625</v>
      </c>
      <c r="H17" s="416" t="s">
        <v>382</v>
      </c>
      <c r="I17" s="417" t="str">
        <f>IF(AND($C$11=1,$C$7+$C$9+$C$10+$C$8+$C$12=0,$C$13=3),"ДА","НЕТ")</f>
        <v>НЕТ</v>
      </c>
      <c r="J17" s="328"/>
      <c r="K17" s="322">
        <f t="shared" si="0"/>
        <v>0</v>
      </c>
    </row>
    <row r="18" spans="1:11" ht="12.75" customHeight="1">
      <c r="B18" s="505" t="s">
        <v>361</v>
      </c>
      <c r="C18" s="465">
        <v>0</v>
      </c>
      <c r="D18" s="513" t="s">
        <v>287</v>
      </c>
      <c r="E18" s="367" t="s">
        <v>255</v>
      </c>
      <c r="F18" s="1246" t="s">
        <v>597</v>
      </c>
      <c r="H18" s="416" t="s">
        <v>383</v>
      </c>
      <c r="I18" s="417" t="str">
        <f>IF(AND($C$12=1,$C$7+$C$8+$C$9+$C$10+$C$11=0,$C$13=1),"ДА","НЕТ")</f>
        <v>НЕТ</v>
      </c>
      <c r="J18" s="328"/>
      <c r="K18" s="322">
        <f t="shared" si="0"/>
        <v>0</v>
      </c>
    </row>
    <row r="19" spans="1:11" ht="12">
      <c r="B19" s="521" t="s">
        <v>362</v>
      </c>
      <c r="C19" s="464">
        <v>0</v>
      </c>
      <c r="D19" s="370" t="s">
        <v>287</v>
      </c>
      <c r="E19" s="369" t="s">
        <v>255</v>
      </c>
      <c r="F19" s="1247"/>
      <c r="H19" s="419" t="s">
        <v>384</v>
      </c>
      <c r="I19" s="417" t="str">
        <f>IF(AND($C$12=1,$C$7+$C$8+$C$9+$C$10+$C$11=0,$C$13=1),"ДА","НЕТ")</f>
        <v>НЕТ</v>
      </c>
      <c r="J19" s="328"/>
      <c r="K19" s="322">
        <f t="shared" si="0"/>
        <v>0</v>
      </c>
    </row>
    <row r="20" spans="1:11" ht="12">
      <c r="B20" s="521" t="s">
        <v>467</v>
      </c>
      <c r="C20" s="464">
        <v>0</v>
      </c>
      <c r="D20" s="370" t="s">
        <v>287</v>
      </c>
      <c r="E20" s="369" t="s">
        <v>255</v>
      </c>
      <c r="F20" s="1247"/>
      <c r="H20" s="416" t="s">
        <v>388</v>
      </c>
      <c r="I20" s="417" t="str">
        <f>IF(AND($C$12=1,$C$7+$C$8+$C$9+$C$10+$C$11=0,$C$13=2),"ДА","НЕТ")</f>
        <v>НЕТ</v>
      </c>
      <c r="J20" s="328"/>
      <c r="K20" s="322">
        <f t="shared" si="0"/>
        <v>0</v>
      </c>
    </row>
    <row r="21" spans="1:11" ht="12.75" thickBot="1">
      <c r="B21" s="521" t="s">
        <v>466</v>
      </c>
      <c r="C21" s="464">
        <v>1</v>
      </c>
      <c r="D21" s="524" t="s">
        <v>287</v>
      </c>
      <c r="E21" s="374" t="s">
        <v>255</v>
      </c>
      <c r="F21" s="1248"/>
      <c r="H21" s="440" t="s">
        <v>389</v>
      </c>
      <c r="I21" s="441" t="str">
        <f>IF(AND($C$12=1,$C$7+$C$8+$C$9+$C$10+$C$11=0,$C$13=2),"ДА","НЕТ")</f>
        <v>НЕТ</v>
      </c>
      <c r="J21" s="335"/>
      <c r="K21" s="478">
        <f t="shared" si="0"/>
        <v>0</v>
      </c>
    </row>
    <row r="22" spans="1:11" ht="12" thickBot="1">
      <c r="B22" s="507" t="s">
        <v>404</v>
      </c>
      <c r="C22" s="468">
        <v>1</v>
      </c>
      <c r="D22" s="523" t="s">
        <v>287</v>
      </c>
      <c r="E22" s="376" t="s">
        <v>255</v>
      </c>
      <c r="F22" s="534"/>
    </row>
    <row r="23" spans="1:11">
      <c r="B23" s="410" t="s">
        <v>147</v>
      </c>
      <c r="C23" s="467">
        <v>0</v>
      </c>
      <c r="D23" s="1249" t="s">
        <v>686</v>
      </c>
      <c r="E23" s="1250"/>
      <c r="F23" s="1251"/>
    </row>
    <row r="24" spans="1:11">
      <c r="B24" s="420" t="s">
        <v>146</v>
      </c>
      <c r="C24" s="464">
        <v>0</v>
      </c>
      <c r="D24" s="1252" t="s">
        <v>687</v>
      </c>
      <c r="E24" s="1253"/>
      <c r="F24" s="1254"/>
    </row>
    <row r="25" spans="1:11" ht="12" thickBot="1">
      <c r="B25" s="415" t="s">
        <v>143</v>
      </c>
      <c r="C25" s="466">
        <v>0</v>
      </c>
      <c r="D25" s="1255" t="s">
        <v>688</v>
      </c>
      <c r="E25" s="1256"/>
      <c r="F25" s="1257"/>
    </row>
    <row r="26" spans="1:11" ht="12" thickBot="1">
      <c r="A26" s="71"/>
      <c r="B26" s="1263"/>
      <c r="C26" s="1263"/>
      <c r="D26" s="1263"/>
      <c r="E26" s="327"/>
      <c r="F26" s="397"/>
    </row>
    <row r="27" spans="1:11" ht="12.75">
      <c r="B27" s="380" t="s">
        <v>5</v>
      </c>
      <c r="C27" s="381" t="s">
        <v>0</v>
      </c>
      <c r="D27" s="512" t="s">
        <v>4</v>
      </c>
      <c r="E27" s="383" t="s">
        <v>8</v>
      </c>
      <c r="F27" s="319"/>
    </row>
    <row r="28" spans="1:11">
      <c r="B28" s="344" t="s">
        <v>563</v>
      </c>
      <c r="C28" s="350">
        <f>IF(AND(C15=0,C17=0),C20*(C4+C5+C6),0)</f>
        <v>0</v>
      </c>
      <c r="D28" s="356"/>
      <c r="E28" s="347">
        <f>C28*D28</f>
        <v>0</v>
      </c>
      <c r="F28" s="319"/>
    </row>
    <row r="29" spans="1:11">
      <c r="B29" s="344" t="s">
        <v>605</v>
      </c>
      <c r="C29" s="350">
        <f>IF(AND(C15=0,C17=0),C21*(C4+C5+C6),0)</f>
        <v>0</v>
      </c>
      <c r="D29" s="356"/>
      <c r="E29" s="347">
        <f>C29*D29</f>
        <v>0</v>
      </c>
      <c r="F29" s="319"/>
    </row>
    <row r="30" spans="1:11">
      <c r="B30" s="344" t="s">
        <v>606</v>
      </c>
      <c r="C30" s="350">
        <f>IF(AND(C15=1,C18=0),C21*(C4+C5+C6),0)</f>
        <v>0</v>
      </c>
      <c r="D30" s="356"/>
      <c r="E30" s="347">
        <f t="shared" ref="E30:E84" si="1">C30*D30</f>
        <v>0</v>
      </c>
      <c r="F30" s="319"/>
    </row>
    <row r="31" spans="1:11">
      <c r="B31" s="349" t="s">
        <v>467</v>
      </c>
      <c r="C31" s="350">
        <f>IF(AND(C15=0,C17=0),C20*C2*(C4+C5+C6),0)</f>
        <v>0</v>
      </c>
      <c r="D31" s="356"/>
      <c r="E31" s="347">
        <f>C31*D31</f>
        <v>0</v>
      </c>
      <c r="F31" s="319"/>
    </row>
    <row r="32" spans="1:11">
      <c r="B32" s="349" t="s">
        <v>616</v>
      </c>
      <c r="C32" s="350">
        <f>IF(AND(C18=0,C19=0,C20=0),C21*C2*(C4+C5+C6),0)</f>
        <v>1.85</v>
      </c>
      <c r="D32" s="356"/>
      <c r="E32" s="347">
        <f t="shared" si="1"/>
        <v>0</v>
      </c>
      <c r="F32" s="327"/>
    </row>
    <row r="33" spans="2:6">
      <c r="B33" s="349" t="s">
        <v>364</v>
      </c>
      <c r="C33" s="350">
        <f>IF(AND(C15=0,C17=0),C18*C2*(C4+C5+C6),0)</f>
        <v>0</v>
      </c>
      <c r="D33" s="356"/>
      <c r="E33" s="347">
        <f t="shared" si="1"/>
        <v>0</v>
      </c>
      <c r="F33" s="319"/>
    </row>
    <row r="34" spans="2:6">
      <c r="B34" s="349" t="s">
        <v>365</v>
      </c>
      <c r="C34" s="350">
        <f>IF(AND(C15=0,C16=0),C19*C2*(C4+C5+C6+C7+C8+C9),0)</f>
        <v>0</v>
      </c>
      <c r="D34" s="356"/>
      <c r="E34" s="347">
        <f t="shared" si="1"/>
        <v>0</v>
      </c>
      <c r="F34" s="397"/>
    </row>
    <row r="35" spans="2:6">
      <c r="B35" s="344" t="s">
        <v>635</v>
      </c>
      <c r="C35" s="345">
        <f>IF(AND(C17=1,C15+C18+C19=0,C21=1),C17*(C4+C5+C6+C7+C8+C9),0)</f>
        <v>2</v>
      </c>
      <c r="D35" s="356"/>
      <c r="E35" s="347">
        <f t="shared" si="1"/>
        <v>0</v>
      </c>
      <c r="F35" s="397"/>
    </row>
    <row r="36" spans="2:6">
      <c r="B36" s="344" t="s">
        <v>411</v>
      </c>
      <c r="C36" s="345">
        <f>IF(C15+C17+C21=0,(C18+C19)*2*(C4+C5+C6+C7+C8+C9),0)</f>
        <v>0</v>
      </c>
      <c r="D36" s="356"/>
      <c r="E36" s="347">
        <f t="shared" si="1"/>
        <v>0</v>
      </c>
      <c r="F36" s="397"/>
    </row>
    <row r="37" spans="2:6">
      <c r="B37" s="349" t="s">
        <v>533</v>
      </c>
      <c r="C37" s="350">
        <f>EVEN(ROUNDDOWN(IF(AND((C4+C5+C6)&gt;0.9,C22=0),((C4+C5+C6)*C2/0.5),0),0))</f>
        <v>0</v>
      </c>
      <c r="D37" s="356"/>
      <c r="E37" s="347">
        <f t="shared" si="1"/>
        <v>0</v>
      </c>
      <c r="F37" s="319"/>
    </row>
    <row r="38" spans="2:6">
      <c r="B38" s="349" t="s">
        <v>534</v>
      </c>
      <c r="C38" s="350">
        <f>EVEN(ROUNDDOWN(IF(AND((C4+C5+C6)&gt;0.9,C15=0,C17=1),((C4+C5+C6)*C3*2/0.5),0),0))</f>
        <v>4</v>
      </c>
      <c r="D38" s="356"/>
      <c r="E38" s="347">
        <f>C38*D38</f>
        <v>0</v>
      </c>
      <c r="F38" s="319"/>
    </row>
    <row r="39" spans="2:6">
      <c r="B39" s="349" t="s">
        <v>683</v>
      </c>
      <c r="C39" s="350">
        <f>(C4+C5+C6)*2</f>
        <v>2</v>
      </c>
      <c r="D39" s="356"/>
      <c r="E39" s="347">
        <f t="shared" si="1"/>
        <v>0</v>
      </c>
      <c r="F39" s="319"/>
    </row>
    <row r="40" spans="2:6">
      <c r="B40" s="349" t="s">
        <v>480</v>
      </c>
      <c r="C40" s="350">
        <f>(C4+C6)*C2</f>
        <v>1.85</v>
      </c>
      <c r="D40" s="356"/>
      <c r="E40" s="347">
        <f t="shared" si="1"/>
        <v>0</v>
      </c>
      <c r="F40" s="319"/>
    </row>
    <row r="41" spans="2:6">
      <c r="B41" s="349" t="s">
        <v>478</v>
      </c>
      <c r="C41" s="350">
        <f>C19*2*C2*(C4+C5+C6)</f>
        <v>0</v>
      </c>
      <c r="D41" s="356"/>
      <c r="E41" s="347">
        <f t="shared" si="1"/>
        <v>0</v>
      </c>
      <c r="F41" s="319"/>
    </row>
    <row r="42" spans="2:6">
      <c r="B42" s="349" t="s">
        <v>477</v>
      </c>
      <c r="C42" s="350">
        <f>(C21+C18)*C2*(C4+C5+C6)</f>
        <v>1.85</v>
      </c>
      <c r="D42" s="356"/>
      <c r="E42" s="347">
        <f t="shared" si="1"/>
        <v>0</v>
      </c>
      <c r="F42" s="319"/>
    </row>
    <row r="43" spans="2:6">
      <c r="B43" s="344" t="s">
        <v>474</v>
      </c>
      <c r="C43" s="345">
        <f>(C5+C20)*C2</f>
        <v>0</v>
      </c>
      <c r="D43" s="356"/>
      <c r="E43" s="347">
        <f t="shared" si="1"/>
        <v>0</v>
      </c>
      <c r="F43" s="319"/>
    </row>
    <row r="44" spans="2:6">
      <c r="B44" s="349" t="s">
        <v>525</v>
      </c>
      <c r="C44" s="350">
        <f>C4*C2</f>
        <v>1.85</v>
      </c>
      <c r="D44" s="356"/>
      <c r="E44" s="347">
        <f>C44*D44</f>
        <v>0</v>
      </c>
      <c r="F44" s="319"/>
    </row>
    <row r="45" spans="2:6">
      <c r="B45" s="344" t="s">
        <v>451</v>
      </c>
      <c r="C45" s="350">
        <f>C2*C5</f>
        <v>0</v>
      </c>
      <c r="D45" s="356"/>
      <c r="E45" s="347">
        <f t="shared" si="1"/>
        <v>0</v>
      </c>
      <c r="F45" s="319"/>
    </row>
    <row r="46" spans="2:6">
      <c r="B46" s="344" t="s">
        <v>450</v>
      </c>
      <c r="C46" s="345">
        <f>C2*C6</f>
        <v>0</v>
      </c>
      <c r="D46" s="356"/>
      <c r="E46" s="347">
        <f t="shared" si="1"/>
        <v>0</v>
      </c>
      <c r="F46" s="319"/>
    </row>
    <row r="47" spans="2:6">
      <c r="B47" s="349" t="s">
        <v>828</v>
      </c>
      <c r="C47" s="350">
        <f>C6+C5+C4</f>
        <v>1</v>
      </c>
      <c r="D47" s="356"/>
      <c r="E47" s="347">
        <f t="shared" si="1"/>
        <v>0</v>
      </c>
      <c r="F47" s="319"/>
    </row>
    <row r="48" spans="2:6">
      <c r="B48" s="349" t="s">
        <v>470</v>
      </c>
      <c r="C48" s="350">
        <f>C6</f>
        <v>0</v>
      </c>
      <c r="D48" s="356"/>
      <c r="E48" s="347">
        <f t="shared" si="1"/>
        <v>0</v>
      </c>
      <c r="F48" s="319"/>
    </row>
    <row r="49" spans="2:6">
      <c r="B49" s="349" t="s">
        <v>367</v>
      </c>
      <c r="C49" s="350">
        <f>C5</f>
        <v>0</v>
      </c>
      <c r="D49" s="356"/>
      <c r="E49" s="347">
        <f t="shared" si="1"/>
        <v>0</v>
      </c>
      <c r="F49" s="319"/>
    </row>
    <row r="50" spans="2:6">
      <c r="B50" s="349" t="s">
        <v>684</v>
      </c>
      <c r="C50" s="350">
        <f>(C4+C6+C5)*2</f>
        <v>2</v>
      </c>
      <c r="D50" s="356"/>
      <c r="E50" s="347">
        <f t="shared" si="1"/>
        <v>0</v>
      </c>
      <c r="F50" s="327"/>
    </row>
    <row r="51" spans="2:6">
      <c r="B51" s="359" t="s">
        <v>454</v>
      </c>
      <c r="C51" s="402">
        <f>C5+C4</f>
        <v>1</v>
      </c>
      <c r="D51" s="356"/>
      <c r="E51" s="403">
        <f t="shared" si="1"/>
        <v>0</v>
      </c>
      <c r="F51" s="319"/>
    </row>
    <row r="52" spans="2:6">
      <c r="B52" s="359" t="s">
        <v>375</v>
      </c>
      <c r="C52" s="402">
        <f>(C8+C7)*(C4+C5)</f>
        <v>1</v>
      </c>
      <c r="D52" s="356"/>
      <c r="E52" s="403">
        <f t="shared" si="1"/>
        <v>0</v>
      </c>
      <c r="F52" s="319"/>
    </row>
    <row r="53" spans="2:6">
      <c r="B53" s="359" t="s">
        <v>497</v>
      </c>
      <c r="C53" s="402">
        <f>C8*C5</f>
        <v>0</v>
      </c>
      <c r="D53" s="356"/>
      <c r="E53" s="403">
        <f t="shared" si="1"/>
        <v>0</v>
      </c>
      <c r="F53" s="319"/>
    </row>
    <row r="54" spans="2:6">
      <c r="B54" s="359" t="s">
        <v>377</v>
      </c>
      <c r="C54" s="402">
        <f>C9*C6</f>
        <v>0</v>
      </c>
      <c r="D54" s="356"/>
      <c r="E54" s="403">
        <f t="shared" si="1"/>
        <v>0</v>
      </c>
      <c r="F54" s="319"/>
    </row>
    <row r="55" spans="2:6" hidden="1">
      <c r="B55" s="359" t="s">
        <v>528</v>
      </c>
      <c r="C55" s="402">
        <f>(C7+C10)*C4</f>
        <v>1</v>
      </c>
      <c r="D55" s="356"/>
      <c r="E55" s="403">
        <f>C55*D55</f>
        <v>0</v>
      </c>
      <c r="F55" s="319"/>
    </row>
    <row r="56" spans="2:6">
      <c r="B56" s="359" t="s">
        <v>378</v>
      </c>
      <c r="C56" s="402">
        <f>C9*C6</f>
        <v>0</v>
      </c>
      <c r="D56" s="356"/>
      <c r="E56" s="403">
        <f t="shared" si="1"/>
        <v>0</v>
      </c>
      <c r="F56" s="319"/>
    </row>
    <row r="57" spans="2:6">
      <c r="B57" s="359" t="s">
        <v>380</v>
      </c>
      <c r="C57" s="402">
        <f>C11*C5</f>
        <v>0</v>
      </c>
      <c r="D57" s="356"/>
      <c r="E57" s="403">
        <f t="shared" si="1"/>
        <v>0</v>
      </c>
      <c r="F57" s="319"/>
    </row>
    <row r="58" spans="2:6">
      <c r="B58" s="359" t="s">
        <v>529</v>
      </c>
      <c r="C58" s="402">
        <f>(C11+C8)*C5</f>
        <v>0</v>
      </c>
      <c r="D58" s="356"/>
      <c r="E58" s="403">
        <f t="shared" si="1"/>
        <v>0</v>
      </c>
      <c r="F58" s="319"/>
    </row>
    <row r="59" spans="2:6">
      <c r="B59" s="359" t="s">
        <v>386</v>
      </c>
      <c r="C59" s="402">
        <f>C12*C6</f>
        <v>0</v>
      </c>
      <c r="D59" s="356"/>
      <c r="E59" s="403">
        <f t="shared" si="1"/>
        <v>0</v>
      </c>
      <c r="F59" s="319"/>
    </row>
    <row r="60" spans="2:6">
      <c r="B60" s="359" t="s">
        <v>387</v>
      </c>
      <c r="C60" s="402">
        <f>C12*C6</f>
        <v>0</v>
      </c>
      <c r="D60" s="356"/>
      <c r="E60" s="403">
        <f t="shared" si="1"/>
        <v>0</v>
      </c>
      <c r="F60" s="319"/>
    </row>
    <row r="61" spans="2:6">
      <c r="B61" s="349" t="s">
        <v>630</v>
      </c>
      <c r="C61" s="350">
        <f>C2*(C4+C5+C6)</f>
        <v>1.85</v>
      </c>
      <c r="D61" s="351"/>
      <c r="E61" s="347">
        <f t="shared" si="1"/>
        <v>0</v>
      </c>
      <c r="F61" s="319"/>
    </row>
    <row r="62" spans="2:6">
      <c r="B62" s="508" t="s">
        <v>631</v>
      </c>
      <c r="C62" s="509">
        <f>C2*(C4+C5+C6)</f>
        <v>1.85</v>
      </c>
      <c r="D62" s="356"/>
      <c r="E62" s="403">
        <f t="shared" si="1"/>
        <v>0</v>
      </c>
      <c r="F62" s="319"/>
    </row>
    <row r="63" spans="2:6">
      <c r="B63" s="508" t="s">
        <v>632</v>
      </c>
      <c r="C63" s="509">
        <f>C4+C5+C6</f>
        <v>1</v>
      </c>
      <c r="D63" s="356"/>
      <c r="E63" s="403">
        <f t="shared" si="1"/>
        <v>0</v>
      </c>
      <c r="F63" s="319"/>
    </row>
    <row r="64" spans="2:6">
      <c r="B64" s="508" t="s">
        <v>633</v>
      </c>
      <c r="C64" s="509">
        <f>C4+C5+C6</f>
        <v>1</v>
      </c>
      <c r="D64" s="525"/>
      <c r="E64" s="403">
        <f t="shared" si="1"/>
        <v>0</v>
      </c>
      <c r="F64" s="360"/>
    </row>
    <row r="65" spans="2:6">
      <c r="B65" s="344" t="s">
        <v>636</v>
      </c>
      <c r="C65" s="345">
        <f>IF(C17=1,C4+C5+C6,0)</f>
        <v>1</v>
      </c>
      <c r="D65" s="356"/>
      <c r="E65" s="403">
        <f t="shared" si="1"/>
        <v>0</v>
      </c>
      <c r="F65" s="360"/>
    </row>
    <row r="66" spans="2:6">
      <c r="B66" s="508" t="s">
        <v>685</v>
      </c>
      <c r="C66" s="509">
        <f>(C4+C5+C6)*2</f>
        <v>2</v>
      </c>
      <c r="D66" s="525"/>
      <c r="E66" s="403">
        <f t="shared" si="1"/>
        <v>0</v>
      </c>
      <c r="F66" s="360"/>
    </row>
    <row r="67" spans="2:6">
      <c r="B67" s="344" t="s">
        <v>637</v>
      </c>
      <c r="C67" s="345">
        <f>IF(C17=1,C3*2*(C4+C5+C6),0)</f>
        <v>2.2000000000000002</v>
      </c>
      <c r="D67" s="356"/>
      <c r="E67" s="403">
        <f t="shared" si="1"/>
        <v>0</v>
      </c>
      <c r="F67" s="360"/>
    </row>
    <row r="68" spans="2:6">
      <c r="B68" s="344" t="s">
        <v>638</v>
      </c>
      <c r="C68" s="345">
        <f>IF(C17=1,C4+C5+C6,0)</f>
        <v>1</v>
      </c>
      <c r="D68" s="356">
        <v>1</v>
      </c>
      <c r="E68" s="403">
        <f t="shared" si="1"/>
        <v>1</v>
      </c>
      <c r="F68" s="360"/>
    </row>
    <row r="69" spans="2:6">
      <c r="B69" s="344" t="s">
        <v>639</v>
      </c>
      <c r="C69" s="345">
        <f>IF(C17=1,C3*2*(C4+C5+C6),0)</f>
        <v>2.2000000000000002</v>
      </c>
      <c r="D69" s="356"/>
      <c r="E69" s="403">
        <f t="shared" si="1"/>
        <v>0</v>
      </c>
      <c r="F69" s="360"/>
    </row>
    <row r="70" spans="2:6">
      <c r="B70" s="344" t="s">
        <v>640</v>
      </c>
      <c r="C70" s="345">
        <f>IF(C16=1,C2*(C4+C5+C6),0)</f>
        <v>0</v>
      </c>
      <c r="D70" s="356"/>
      <c r="E70" s="403">
        <f>C70*D70</f>
        <v>0</v>
      </c>
      <c r="F70" s="360"/>
    </row>
    <row r="71" spans="2:6">
      <c r="B71" s="344" t="s">
        <v>484</v>
      </c>
      <c r="C71" s="345">
        <f>C2*(C4+C5+C6)</f>
        <v>1.85</v>
      </c>
      <c r="D71" s="356"/>
      <c r="E71" s="403">
        <f t="shared" si="1"/>
        <v>0</v>
      </c>
      <c r="F71" s="360"/>
    </row>
    <row r="72" spans="2:6">
      <c r="B72" s="344" t="s">
        <v>457</v>
      </c>
      <c r="C72" s="345">
        <f>IF(C16=1,C2*(C4+C5+C6),0)</f>
        <v>0</v>
      </c>
      <c r="D72" s="356"/>
      <c r="E72" s="403">
        <f t="shared" si="1"/>
        <v>0</v>
      </c>
      <c r="F72" s="360"/>
    </row>
    <row r="73" spans="2:6">
      <c r="B73" s="349" t="s">
        <v>457</v>
      </c>
      <c r="C73" s="350">
        <f>IF(C17=1,C3*4*(C4+C5+C6),0)</f>
        <v>4.4000000000000004</v>
      </c>
      <c r="D73" s="356"/>
      <c r="E73" s="403">
        <f t="shared" si="1"/>
        <v>0</v>
      </c>
      <c r="F73" s="360"/>
    </row>
    <row r="74" spans="2:6">
      <c r="B74" s="349" t="s">
        <v>535</v>
      </c>
      <c r="C74" s="350">
        <f>IF(AND(C17=1,C14=1),((C3*2)+C2)*(C4+C5+C6),0)</f>
        <v>4.0500000000000007</v>
      </c>
      <c r="D74" s="356"/>
      <c r="E74" s="403">
        <f>C74*D74</f>
        <v>0</v>
      </c>
      <c r="F74" s="360"/>
    </row>
    <row r="75" spans="2:6">
      <c r="B75" s="349" t="s">
        <v>369</v>
      </c>
      <c r="C75" s="350">
        <f>C15*((C3*2)+C2+0.3)*(C4+C5+C6)</f>
        <v>0</v>
      </c>
      <c r="D75" s="356"/>
      <c r="E75" s="403">
        <f t="shared" si="1"/>
        <v>0</v>
      </c>
      <c r="F75" s="360"/>
    </row>
    <row r="76" spans="2:6">
      <c r="B76" s="349" t="s">
        <v>370</v>
      </c>
      <c r="C76" s="350">
        <f>C15*2*(C4+C5+C6)</f>
        <v>0</v>
      </c>
      <c r="D76" s="356"/>
      <c r="E76" s="403">
        <f t="shared" si="1"/>
        <v>0</v>
      </c>
      <c r="F76" s="360"/>
    </row>
    <row r="77" spans="2:6">
      <c r="B77" s="349" t="s">
        <v>371</v>
      </c>
      <c r="C77" s="350">
        <f>C15*(C4+C5+C6)</f>
        <v>0</v>
      </c>
      <c r="D77" s="356"/>
      <c r="E77" s="403">
        <f t="shared" si="1"/>
        <v>0</v>
      </c>
      <c r="F77" s="360"/>
    </row>
    <row r="78" spans="2:6">
      <c r="B78" s="349" t="s">
        <v>458</v>
      </c>
      <c r="C78" s="350">
        <f>C15*2*(C4+C5+C6)</f>
        <v>0</v>
      </c>
      <c r="D78" s="356"/>
      <c r="E78" s="403">
        <f t="shared" si="1"/>
        <v>0</v>
      </c>
      <c r="F78" s="360"/>
    </row>
    <row r="79" spans="2:6">
      <c r="B79" s="349" t="s">
        <v>453</v>
      </c>
      <c r="C79" s="350">
        <f>C15*2*(C4+C5+C6)</f>
        <v>0</v>
      </c>
      <c r="D79" s="356"/>
      <c r="E79" s="403">
        <f t="shared" si="1"/>
        <v>0</v>
      </c>
      <c r="F79" s="360"/>
    </row>
    <row r="80" spans="2:6">
      <c r="B80" s="349" t="s">
        <v>336</v>
      </c>
      <c r="C80" s="350">
        <f>C15*(C4+C5+C6)</f>
        <v>0</v>
      </c>
      <c r="D80" s="356"/>
      <c r="E80" s="403">
        <f t="shared" si="1"/>
        <v>0</v>
      </c>
      <c r="F80" s="360"/>
    </row>
    <row r="81" spans="2:7">
      <c r="B81" s="528" t="s">
        <v>145</v>
      </c>
      <c r="C81" s="509">
        <f>C24</f>
        <v>0</v>
      </c>
      <c r="D81" s="525"/>
      <c r="E81" s="403">
        <f t="shared" si="1"/>
        <v>0</v>
      </c>
      <c r="F81" s="360"/>
    </row>
    <row r="82" spans="2:7">
      <c r="B82" s="528" t="s">
        <v>148</v>
      </c>
      <c r="C82" s="509">
        <f>C23</f>
        <v>0</v>
      </c>
      <c r="D82" s="525"/>
      <c r="E82" s="403">
        <f t="shared" si="1"/>
        <v>0</v>
      </c>
      <c r="F82" s="360"/>
    </row>
    <row r="83" spans="2:7">
      <c r="B83" s="528" t="s">
        <v>689</v>
      </c>
      <c r="C83" s="509">
        <f>C25</f>
        <v>0</v>
      </c>
      <c r="D83" s="525"/>
      <c r="E83" s="403">
        <f t="shared" si="1"/>
        <v>0</v>
      </c>
      <c r="F83" s="360"/>
    </row>
    <row r="84" spans="2:7" ht="12" thickBot="1">
      <c r="B84" s="510" t="s">
        <v>634</v>
      </c>
      <c r="C84" s="511">
        <f>EVEN(ROUNDDOWN(IF(C22=1,((C4+C5+C6)*C2/0.5),0),0))</f>
        <v>4</v>
      </c>
      <c r="D84" s="476"/>
      <c r="E84" s="407">
        <f t="shared" si="1"/>
        <v>0</v>
      </c>
      <c r="F84" s="360"/>
    </row>
    <row r="85" spans="2:7" ht="13.5" thickBot="1">
      <c r="B85" s="319"/>
      <c r="C85" s="319"/>
      <c r="D85" s="387" t="s">
        <v>9</v>
      </c>
      <c r="E85" s="392">
        <f>SUMIF(E28:E84,"&gt;0",E28:E84)</f>
        <v>1</v>
      </c>
      <c r="F85" s="360"/>
      <c r="G85" s="251"/>
    </row>
    <row r="86" spans="2:7" ht="12" customHeight="1"/>
    <row r="87" spans="2:7" ht="11.25" customHeight="1"/>
    <row r="88" spans="2:7" ht="11.25" customHeight="1"/>
    <row r="89" spans="2:7" ht="11.25" customHeight="1"/>
    <row r="90" spans="2:7" ht="11.25" customHeight="1"/>
    <row r="91" spans="2:7" ht="11.25" customHeight="1"/>
    <row r="92" spans="2:7" ht="11.25" customHeight="1"/>
    <row r="93" spans="2:7" ht="11.25" customHeight="1"/>
    <row r="94" spans="2:7" ht="11.25" customHeight="1"/>
    <row r="95" spans="2:7" ht="11.25" customHeight="1"/>
    <row r="96" spans="2:7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2" customHeight="1"/>
    <row r="106" ht="11.25" customHeight="1"/>
    <row r="107" ht="11.25" customHeight="1"/>
    <row r="108" ht="11.25" customHeight="1"/>
    <row r="109" ht="11.25" customHeight="1"/>
    <row r="110" ht="11.25" customHeight="1"/>
  </sheetData>
  <sheetProtection algorithmName="SHA-512" hashValue="Jo0gmAM7aOuZDvh2N8QhJv54asAa34I4/1FhnblXd2zSy76Z8GRTCKFoNRf3cdoq7YKo8CmO8SaaeKy1LDOSSQ==" saltValue="GIc4bOC7Pud+t5A0Oa5SGw==" spinCount="100000" sheet="1"/>
  <mergeCells count="9">
    <mergeCell ref="B26:D26"/>
    <mergeCell ref="F7:F12"/>
    <mergeCell ref="F18:F21"/>
    <mergeCell ref="B1:D1"/>
    <mergeCell ref="D2:F3"/>
    <mergeCell ref="D4:F6"/>
    <mergeCell ref="D23:F23"/>
    <mergeCell ref="D24:F24"/>
    <mergeCell ref="D25:F25"/>
  </mergeCells>
  <conditionalFormatting sqref="C13">
    <cfRule type="cellIs" dxfId="614" priority="11" operator="greaterThan">
      <formula>0</formula>
    </cfRule>
  </conditionalFormatting>
  <conditionalFormatting sqref="C13">
    <cfRule type="cellIs" dxfId="613" priority="12" operator="greaterThan">
      <formula>0</formula>
    </cfRule>
  </conditionalFormatting>
  <conditionalFormatting sqref="C13">
    <cfRule type="cellIs" dxfId="612" priority="10" operator="greaterThan">
      <formula>0</formula>
    </cfRule>
  </conditionalFormatting>
  <conditionalFormatting sqref="I3:I21">
    <cfRule type="cellIs" dxfId="611" priority="6" operator="equal">
      <formula>"ДА"</formula>
    </cfRule>
    <cfRule type="cellIs" dxfId="610" priority="7" operator="equal">
      <formula>"НЕТ"</formula>
    </cfRule>
  </conditionalFormatting>
  <conditionalFormatting sqref="I3:I21">
    <cfRule type="colorScale" priority="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 C28:E80">
    <cfRule type="cellIs" dxfId="609" priority="9" operator="greaterThan">
      <formula>0</formula>
    </cfRule>
  </conditionalFormatting>
  <conditionalFormatting sqref="C2:C22">
    <cfRule type="cellIs" dxfId="608" priority="5" operator="greaterThan">
      <formula>0</formula>
    </cfRule>
  </conditionalFormatting>
  <conditionalFormatting sqref="C84:E84">
    <cfRule type="cellIs" dxfId="607" priority="4" operator="greaterThan">
      <formula>0</formula>
    </cfRule>
  </conditionalFormatting>
  <conditionalFormatting sqref="E85">
    <cfRule type="cellIs" dxfId="606" priority="3" operator="greaterThan">
      <formula>0</formula>
    </cfRule>
  </conditionalFormatting>
  <conditionalFormatting sqref="C23:C25">
    <cfRule type="cellIs" dxfId="605" priority="2" operator="greaterThan">
      <formula>0</formula>
    </cfRule>
  </conditionalFormatting>
  <conditionalFormatting sqref="C81:E83">
    <cfRule type="cellIs" dxfId="604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O102"/>
  <sheetViews>
    <sheetView workbookViewId="0">
      <pane ySplit="28" topLeftCell="A35" activePane="bottomLeft" state="frozen"/>
      <selection pane="bottomLeft" activeCell="F42" sqref="F42"/>
    </sheetView>
  </sheetViews>
  <sheetFormatPr defaultRowHeight="11.25"/>
  <cols>
    <col min="2" max="2" width="58.6640625" customWidth="1"/>
    <col min="4" max="4" width="12.6640625" customWidth="1"/>
    <col min="5" max="5" width="12.83203125" customWidth="1"/>
    <col min="6" max="6" width="26.6640625" customWidth="1"/>
    <col min="7" max="7" width="7.33203125" customWidth="1"/>
    <col min="8" max="8" width="50" customWidth="1"/>
    <col min="9" max="9" width="4.6640625" customWidth="1"/>
    <col min="12" max="12" width="15.6640625" customWidth="1"/>
    <col min="13" max="13" width="19" customWidth="1"/>
  </cols>
  <sheetData>
    <row r="1" spans="2:15" ht="57.75" customHeight="1" thickBot="1">
      <c r="B1" s="318"/>
      <c r="C1" s="318"/>
      <c r="D1" s="318"/>
      <c r="E1" s="318"/>
      <c r="F1" s="298"/>
    </row>
    <row r="2" spans="2:15" ht="12" customHeight="1" thickBot="1">
      <c r="B2" s="535" t="s">
        <v>10</v>
      </c>
      <c r="C2" s="542">
        <v>1</v>
      </c>
      <c r="D2" s="1265" t="s">
        <v>595</v>
      </c>
      <c r="E2" s="1266"/>
      <c r="F2" s="1267"/>
      <c r="G2" s="319"/>
      <c r="H2" s="384" t="s">
        <v>485</v>
      </c>
      <c r="I2" s="396" t="s">
        <v>604</v>
      </c>
      <c r="J2" s="385" t="s">
        <v>4</v>
      </c>
      <c r="K2" s="386" t="s">
        <v>8</v>
      </c>
      <c r="L2" s="311"/>
      <c r="M2" s="311"/>
    </row>
    <row r="3" spans="2:15" ht="12" customHeight="1" thickBot="1">
      <c r="B3" s="536" t="s">
        <v>1</v>
      </c>
      <c r="C3" s="543">
        <v>1</v>
      </c>
      <c r="D3" s="1268"/>
      <c r="E3" s="1269"/>
      <c r="F3" s="1270"/>
      <c r="G3" s="319"/>
      <c r="H3" s="320" t="s">
        <v>489</v>
      </c>
      <c r="I3" s="393" t="str">
        <f>IF(AND($C$10+$C$11+$C$12=1,$C$13+$C$14+$C$15=0,C16=1),"ДА","НЕТ")</f>
        <v>НЕТ</v>
      </c>
      <c r="J3" s="321"/>
      <c r="K3" s="322">
        <f>IF(I3="ДА",($C$4+$C$5+$C$6+$C$7+$C$8+$C$9)*J3,0)</f>
        <v>0</v>
      </c>
      <c r="L3" s="311"/>
      <c r="M3" s="311"/>
    </row>
    <row r="4" spans="2:15" ht="12" customHeight="1">
      <c r="B4" s="535" t="s">
        <v>413</v>
      </c>
      <c r="C4" s="544">
        <v>0</v>
      </c>
      <c r="D4" s="1271" t="s">
        <v>596</v>
      </c>
      <c r="E4" s="1239"/>
      <c r="F4" s="1240"/>
      <c r="G4" s="323"/>
      <c r="H4" s="324" t="s">
        <v>486</v>
      </c>
      <c r="I4" s="394" t="str">
        <f>IF(AND($C$10+$C$11+$C$12=1,$C$13+$C$14+$C$15=0,C16=3),"ДА","НЕТ")</f>
        <v>НЕТ</v>
      </c>
      <c r="J4" s="325"/>
      <c r="K4" s="322">
        <f t="shared" ref="K4:K19" si="0">IF(I4="ДА",($C$4+$C$5+$C$6+$C$7+$C$8+$C$9)*J4,0)</f>
        <v>0</v>
      </c>
      <c r="L4" s="250"/>
      <c r="M4" s="250"/>
      <c r="N4" s="250"/>
      <c r="O4" s="250"/>
    </row>
    <row r="5" spans="2:15" ht="12" customHeight="1">
      <c r="B5" s="537" t="s">
        <v>414</v>
      </c>
      <c r="C5" s="545">
        <v>0</v>
      </c>
      <c r="D5" s="1272"/>
      <c r="E5" s="1244"/>
      <c r="F5" s="1245"/>
      <c r="G5" s="319"/>
      <c r="H5" s="324" t="s">
        <v>591</v>
      </c>
      <c r="I5" s="394" t="str">
        <f>IF(AND($C$10+$C$11+$C$12=1,$C$13+$C$14+$C$15=0,C16=3),"ДА","НЕТ")</f>
        <v>НЕТ</v>
      </c>
      <c r="J5" s="325"/>
      <c r="K5" s="322">
        <f t="shared" si="0"/>
        <v>0</v>
      </c>
    </row>
    <row r="6" spans="2:15" ht="12" customHeight="1">
      <c r="B6" s="537" t="s">
        <v>586</v>
      </c>
      <c r="C6" s="545">
        <v>0</v>
      </c>
      <c r="D6" s="1272"/>
      <c r="E6" s="1244"/>
      <c r="F6" s="1245"/>
      <c r="G6" s="319"/>
      <c r="H6" s="324" t="s">
        <v>487</v>
      </c>
      <c r="I6" s="394" t="str">
        <f>IF(AND($C$10+$C$11+$C$12=1,$C$13+$C$14+$C$15=0,C16=2),"ДА","НЕТ")</f>
        <v>НЕТ</v>
      </c>
      <c r="J6" s="325"/>
      <c r="K6" s="322">
        <f t="shared" si="0"/>
        <v>0</v>
      </c>
    </row>
    <row r="7" spans="2:15" ht="12" customHeight="1">
      <c r="B7" s="539" t="s">
        <v>415</v>
      </c>
      <c r="C7" s="547">
        <v>1</v>
      </c>
      <c r="D7" s="1272"/>
      <c r="E7" s="1244"/>
      <c r="F7" s="1245"/>
      <c r="G7" s="319"/>
      <c r="H7" s="324" t="s">
        <v>488</v>
      </c>
      <c r="I7" s="394" t="str">
        <f>IF(AND($C$10+$C$11+$C$12=1,$C$13+$C$14+$C$15=0,C16=2),"ДА","НЕТ")</f>
        <v>НЕТ</v>
      </c>
      <c r="J7" s="325"/>
      <c r="K7" s="322">
        <f t="shared" si="0"/>
        <v>0</v>
      </c>
    </row>
    <row r="8" spans="2:15" ht="12" customHeight="1">
      <c r="B8" s="537" t="s">
        <v>416</v>
      </c>
      <c r="C8" s="545">
        <v>0</v>
      </c>
      <c r="D8" s="1272"/>
      <c r="E8" s="1244"/>
      <c r="F8" s="1245"/>
      <c r="G8" s="319"/>
      <c r="H8" s="324" t="s">
        <v>494</v>
      </c>
      <c r="I8" s="394" t="str">
        <f>IF(AND($C$10+$C$11+$C$12=1,$C$13+$C$14+$C$15=0,C16=2),"ДА","НЕТ")</f>
        <v>НЕТ</v>
      </c>
      <c r="J8" s="325"/>
      <c r="K8" s="322">
        <f t="shared" si="0"/>
        <v>0</v>
      </c>
    </row>
    <row r="9" spans="2:15" ht="12" customHeight="1" thickBot="1">
      <c r="B9" s="538" t="s">
        <v>585</v>
      </c>
      <c r="C9" s="546">
        <v>0</v>
      </c>
      <c r="D9" s="1273"/>
      <c r="E9" s="1242"/>
      <c r="F9" s="1243"/>
      <c r="G9" s="319"/>
      <c r="H9" s="320" t="s">
        <v>590</v>
      </c>
      <c r="I9" s="394" t="str">
        <f>IF(AND($C$12=1,$C$13+$C$14+$C$15+$C$10+$C$11=0,C16=1),"ДА","НЕТ")</f>
        <v>НЕТ</v>
      </c>
      <c r="J9" s="321"/>
      <c r="K9" s="322">
        <f t="shared" si="0"/>
        <v>0</v>
      </c>
    </row>
    <row r="10" spans="2:15" ht="12" customHeight="1">
      <c r="B10" s="535" t="s">
        <v>498</v>
      </c>
      <c r="C10" s="544">
        <v>0</v>
      </c>
      <c r="D10" s="366" t="s">
        <v>287</v>
      </c>
      <c r="E10" s="367" t="s">
        <v>255</v>
      </c>
      <c r="F10" s="1246" t="s">
        <v>596</v>
      </c>
      <c r="G10" s="327"/>
      <c r="H10" s="320" t="s">
        <v>383</v>
      </c>
      <c r="I10" s="394" t="str">
        <f>IF(AND($C$10+$C$11+$C$12+$C$15=0,$C$13+$C$14=1,C16=1),"ДА","НЕТ")</f>
        <v>НЕТ</v>
      </c>
      <c r="J10" s="328"/>
      <c r="K10" s="322">
        <f t="shared" si="0"/>
        <v>0</v>
      </c>
      <c r="L10" s="71"/>
      <c r="M10" s="71"/>
      <c r="N10" s="71"/>
    </row>
    <row r="11" spans="2:15" ht="12" customHeight="1">
      <c r="B11" s="537" t="s">
        <v>499</v>
      </c>
      <c r="C11" s="545">
        <v>0</v>
      </c>
      <c r="D11" s="368" t="s">
        <v>287</v>
      </c>
      <c r="E11" s="369" t="s">
        <v>255</v>
      </c>
      <c r="F11" s="1247"/>
      <c r="G11" s="319"/>
      <c r="H11" s="330" t="s">
        <v>384</v>
      </c>
      <c r="I11" s="394" t="str">
        <f>IF(AND($C$10+$C$11+$C$12+$C$15=0,$C$13+$C$14=1,C16=1),"ДА","НЕТ")</f>
        <v>НЕТ</v>
      </c>
      <c r="J11" s="328"/>
      <c r="K11" s="322">
        <f t="shared" si="0"/>
        <v>0</v>
      </c>
    </row>
    <row r="12" spans="2:15" ht="12" customHeight="1">
      <c r="B12" s="537" t="s">
        <v>587</v>
      </c>
      <c r="C12" s="545">
        <v>0</v>
      </c>
      <c r="D12" s="368" t="s">
        <v>287</v>
      </c>
      <c r="E12" s="370" t="s">
        <v>255</v>
      </c>
      <c r="F12" s="1247"/>
      <c r="G12" s="319"/>
      <c r="H12" s="330" t="s">
        <v>385</v>
      </c>
      <c r="I12" s="394" t="str">
        <f>IF(AND($C$10+$C$11+$C$12+$C$15=0,$C$13+$C$14=1,C16=1),"ДА","НЕТ")</f>
        <v>НЕТ</v>
      </c>
      <c r="J12" s="331"/>
      <c r="K12" s="322">
        <f t="shared" si="0"/>
        <v>0</v>
      </c>
    </row>
    <row r="13" spans="2:15" ht="12" customHeight="1">
      <c r="B13" s="539" t="s">
        <v>500</v>
      </c>
      <c r="C13" s="547">
        <v>1</v>
      </c>
      <c r="D13" s="371" t="s">
        <v>287</v>
      </c>
      <c r="E13" s="372" t="s">
        <v>255</v>
      </c>
      <c r="F13" s="1247"/>
      <c r="G13" s="319"/>
      <c r="H13" s="330" t="s">
        <v>592</v>
      </c>
      <c r="I13" s="394" t="str">
        <f>IF(AND($C$10+$C$11+$C$12+$C$13+$C$14=0,$C$15=1,C16=1),"ДА","НЕТ")</f>
        <v>НЕТ</v>
      </c>
      <c r="J13" s="331"/>
      <c r="K13" s="322">
        <f t="shared" si="0"/>
        <v>0</v>
      </c>
    </row>
    <row r="14" spans="2:15" ht="12" customHeight="1">
      <c r="B14" s="537" t="s">
        <v>501</v>
      </c>
      <c r="C14" s="545">
        <v>0</v>
      </c>
      <c r="D14" s="368" t="s">
        <v>287</v>
      </c>
      <c r="E14" s="369" t="s">
        <v>255</v>
      </c>
      <c r="F14" s="1247"/>
      <c r="G14" s="319"/>
      <c r="H14" s="330" t="s">
        <v>592</v>
      </c>
      <c r="I14" s="394" t="str">
        <f>IF(AND($C$10+$C$11+$C$12+$C$13+$C$14=0,$C$15=1,C16=1),"ДА","НЕТ")</f>
        <v>НЕТ</v>
      </c>
      <c r="J14" s="331"/>
      <c r="K14" s="322">
        <f t="shared" si="0"/>
        <v>0</v>
      </c>
    </row>
    <row r="15" spans="2:15" ht="12" customHeight="1" thickBot="1">
      <c r="B15" s="538" t="s">
        <v>588</v>
      </c>
      <c r="C15" s="546">
        <v>0</v>
      </c>
      <c r="D15" s="373" t="s">
        <v>287</v>
      </c>
      <c r="E15" s="374" t="s">
        <v>255</v>
      </c>
      <c r="F15" s="1248"/>
      <c r="G15" s="319"/>
      <c r="H15" s="320" t="s">
        <v>388</v>
      </c>
      <c r="I15" s="394" t="str">
        <f>IF(AND($C$10+$C$11+$C$12+$C$15=0,$C$13+$C$14=1,C16=2),"ДА","НЕТ")</f>
        <v>НЕТ</v>
      </c>
      <c r="J15" s="328"/>
      <c r="K15" s="322">
        <f t="shared" si="0"/>
        <v>0</v>
      </c>
    </row>
    <row r="16" spans="2:15" ht="12" customHeight="1" thickBot="1">
      <c r="B16" s="538" t="s">
        <v>589</v>
      </c>
      <c r="C16" s="546">
        <v>0</v>
      </c>
      <c r="D16" s="373" t="s">
        <v>619</v>
      </c>
      <c r="E16" s="374" t="s">
        <v>620</v>
      </c>
      <c r="F16" s="379" t="s">
        <v>621</v>
      </c>
      <c r="G16" s="319"/>
      <c r="H16" s="330" t="s">
        <v>389</v>
      </c>
      <c r="I16" s="394" t="str">
        <f>IF(AND($C$10+$C$11+$C$12+$C$15=0,$C$13+$C$14=1,C16=2),"ДА","НЕТ")</f>
        <v>НЕТ</v>
      </c>
      <c r="J16" s="328"/>
      <c r="K16" s="322">
        <f t="shared" si="0"/>
        <v>0</v>
      </c>
    </row>
    <row r="17" spans="2:13" ht="12" customHeight="1" thickBot="1">
      <c r="B17" s="540" t="s">
        <v>531</v>
      </c>
      <c r="C17" s="548">
        <v>0</v>
      </c>
      <c r="D17" s="375" t="s">
        <v>287</v>
      </c>
      <c r="E17" s="376" t="s">
        <v>255</v>
      </c>
      <c r="F17" s="473" t="s">
        <v>669</v>
      </c>
      <c r="G17" s="319"/>
      <c r="H17" s="330" t="s">
        <v>390</v>
      </c>
      <c r="I17" s="394" t="str">
        <f>IF(AND($C$10+$C$11+$C$12+$C$15=0,$C$13+$C$14=1,C16=2),"ДА","НЕТ")</f>
        <v>НЕТ</v>
      </c>
      <c r="J17" s="328"/>
      <c r="K17" s="322">
        <f t="shared" si="0"/>
        <v>0</v>
      </c>
    </row>
    <row r="18" spans="2:13" ht="12" customHeight="1" thickBot="1">
      <c r="B18" s="538" t="s">
        <v>532</v>
      </c>
      <c r="C18" s="546">
        <v>0</v>
      </c>
      <c r="D18" s="373" t="s">
        <v>287</v>
      </c>
      <c r="E18" s="374" t="s">
        <v>255</v>
      </c>
      <c r="F18" s="563"/>
      <c r="G18" s="319"/>
      <c r="H18" s="320" t="s">
        <v>593</v>
      </c>
      <c r="I18" s="393" t="str">
        <f>IF(AND($C$10+$C$11+$C$12+$C$13+$C$14=0,$C$15=1,C16=2),"ДА","НЕТ")</f>
        <v>НЕТ</v>
      </c>
      <c r="J18" s="332"/>
      <c r="K18" s="322">
        <f t="shared" si="0"/>
        <v>0</v>
      </c>
    </row>
    <row r="19" spans="2:13" ht="12" customHeight="1" thickBot="1">
      <c r="B19" s="541" t="s">
        <v>393</v>
      </c>
      <c r="C19" s="549">
        <v>0</v>
      </c>
      <c r="D19" s="377" t="s">
        <v>394</v>
      </c>
      <c r="E19" s="378" t="s">
        <v>395</v>
      </c>
      <c r="F19" s="563"/>
      <c r="G19" s="319"/>
      <c r="H19" s="334" t="s">
        <v>594</v>
      </c>
      <c r="I19" s="395" t="str">
        <f>IF(AND($C$10+$C$11+$C$12+$C$13+$C$14=0,$C$15=1,C16=2),"ДА","НЕТ")</f>
        <v>НЕТ</v>
      </c>
      <c r="J19" s="335"/>
      <c r="K19" s="478">
        <f t="shared" si="0"/>
        <v>0</v>
      </c>
    </row>
    <row r="20" spans="2:13" ht="12" customHeight="1" thickBot="1">
      <c r="B20" s="540" t="s">
        <v>358</v>
      </c>
      <c r="C20" s="548">
        <v>0</v>
      </c>
      <c r="D20" s="375" t="s">
        <v>417</v>
      </c>
      <c r="E20" s="376" t="s">
        <v>418</v>
      </c>
      <c r="F20" s="564"/>
      <c r="G20" s="319"/>
      <c r="H20" s="337"/>
      <c r="I20" s="338"/>
      <c r="J20" s="339"/>
      <c r="K20" s="340"/>
    </row>
    <row r="21" spans="2:13" ht="12" customHeight="1">
      <c r="B21" s="539" t="s">
        <v>361</v>
      </c>
      <c r="C21" s="547">
        <v>0</v>
      </c>
      <c r="D21" s="366" t="s">
        <v>287</v>
      </c>
      <c r="E21" s="367" t="s">
        <v>255</v>
      </c>
      <c r="F21" s="1246" t="s">
        <v>597</v>
      </c>
      <c r="G21" s="319"/>
      <c r="H21" s="319"/>
      <c r="I21" s="319"/>
      <c r="J21" s="319"/>
      <c r="K21" s="319"/>
    </row>
    <row r="22" spans="2:13" ht="12" customHeight="1">
      <c r="B22" s="539" t="s">
        <v>466</v>
      </c>
      <c r="C22" s="547">
        <v>0</v>
      </c>
      <c r="D22" s="368" t="s">
        <v>287</v>
      </c>
      <c r="E22" s="369" t="s">
        <v>255</v>
      </c>
      <c r="F22" s="1247"/>
      <c r="G22" s="319"/>
      <c r="H22" s="319"/>
      <c r="I22" s="319"/>
      <c r="J22" s="319"/>
      <c r="K22" s="319"/>
    </row>
    <row r="23" spans="2:13" ht="12" customHeight="1">
      <c r="B23" s="537" t="s">
        <v>362</v>
      </c>
      <c r="C23" s="545">
        <v>0</v>
      </c>
      <c r="D23" s="368" t="s">
        <v>287</v>
      </c>
      <c r="E23" s="369" t="s">
        <v>255</v>
      </c>
      <c r="F23" s="1247"/>
      <c r="G23" s="341"/>
      <c r="H23" s="341"/>
      <c r="I23" s="341"/>
      <c r="J23" s="341"/>
      <c r="K23" s="341"/>
      <c r="L23" s="5"/>
      <c r="M23" s="5"/>
    </row>
    <row r="24" spans="2:13" ht="12" customHeight="1" thickBot="1">
      <c r="B24" s="536" t="s">
        <v>467</v>
      </c>
      <c r="C24" s="550">
        <v>0</v>
      </c>
      <c r="D24" s="373" t="s">
        <v>287</v>
      </c>
      <c r="E24" s="374" t="s">
        <v>255</v>
      </c>
      <c r="F24" s="1248"/>
      <c r="G24" s="319"/>
      <c r="H24" s="319"/>
      <c r="I24" s="319"/>
      <c r="J24" s="319"/>
      <c r="K24" s="319"/>
    </row>
    <row r="25" spans="2:13" ht="12" customHeight="1">
      <c r="B25" s="727" t="s">
        <v>147</v>
      </c>
      <c r="C25" s="729">
        <v>0</v>
      </c>
      <c r="D25" s="1274" t="s">
        <v>686</v>
      </c>
      <c r="E25" s="1250"/>
      <c r="F25" s="1251"/>
      <c r="G25" s="319"/>
      <c r="H25" s="319"/>
      <c r="I25" s="319"/>
      <c r="J25" s="319"/>
      <c r="K25" s="319"/>
    </row>
    <row r="26" spans="2:13" ht="12" customHeight="1" thickBot="1">
      <c r="B26" s="728" t="s">
        <v>146</v>
      </c>
      <c r="C26" s="730">
        <v>0</v>
      </c>
      <c r="D26" s="1275" t="s">
        <v>687</v>
      </c>
      <c r="E26" s="1256"/>
      <c r="F26" s="1257"/>
      <c r="G26" s="319"/>
      <c r="H26" s="319"/>
      <c r="I26" s="319"/>
      <c r="J26" s="319"/>
      <c r="K26" s="319"/>
    </row>
    <row r="27" spans="2:13" ht="12" customHeight="1" thickBot="1">
      <c r="B27" s="1264"/>
      <c r="C27" s="1264"/>
      <c r="D27" s="1264"/>
      <c r="E27" s="1264"/>
      <c r="F27" s="342"/>
      <c r="G27" s="319"/>
      <c r="H27" s="319"/>
      <c r="I27" s="319"/>
      <c r="J27" s="319"/>
      <c r="K27" s="319"/>
    </row>
    <row r="28" spans="2:13" ht="12" customHeight="1">
      <c r="B28" s="380" t="s">
        <v>5</v>
      </c>
      <c r="C28" s="381" t="s">
        <v>0</v>
      </c>
      <c r="D28" s="382" t="s">
        <v>4</v>
      </c>
      <c r="E28" s="383" t="s">
        <v>8</v>
      </c>
      <c r="F28" s="343"/>
      <c r="G28" s="319"/>
      <c r="H28" s="319"/>
      <c r="I28" s="319"/>
      <c r="J28" s="319"/>
      <c r="K28" s="319"/>
    </row>
    <row r="29" spans="2:13" ht="12" customHeight="1">
      <c r="B29" s="344" t="s">
        <v>563</v>
      </c>
      <c r="C29" s="345">
        <f>IF(C17=0,C24*(C4+C5+C7+C8+C6+C9),0)</f>
        <v>0</v>
      </c>
      <c r="D29" s="346"/>
      <c r="E29" s="347">
        <f t="shared" ref="E29:E81" si="1">C29*D29</f>
        <v>0</v>
      </c>
      <c r="F29" s="348"/>
      <c r="G29" s="319"/>
      <c r="H29" s="319"/>
      <c r="I29" s="319"/>
      <c r="J29" s="319"/>
      <c r="K29" s="319"/>
    </row>
    <row r="30" spans="2:13" ht="12" customHeight="1">
      <c r="B30" s="344" t="s">
        <v>564</v>
      </c>
      <c r="C30" s="345">
        <f>C22*(C4+C5+C7+C8+C6+C9)</f>
        <v>0</v>
      </c>
      <c r="D30" s="346"/>
      <c r="E30" s="347">
        <f>C30*D30</f>
        <v>0</v>
      </c>
      <c r="F30" s="348"/>
      <c r="G30" s="319"/>
      <c r="H30" s="319"/>
      <c r="I30" s="319"/>
      <c r="J30" s="319"/>
      <c r="K30" s="319"/>
    </row>
    <row r="31" spans="2:13" ht="12" customHeight="1">
      <c r="B31" s="344" t="s">
        <v>117</v>
      </c>
      <c r="C31" s="345">
        <f>(C21+C23)*2*(C4+C5+C7+C8+C6+C9)</f>
        <v>0</v>
      </c>
      <c r="D31" s="346"/>
      <c r="E31" s="347">
        <f t="shared" si="1"/>
        <v>0</v>
      </c>
      <c r="F31" s="348"/>
      <c r="G31" s="319"/>
      <c r="H31" s="319"/>
      <c r="I31" s="319"/>
      <c r="J31" s="319"/>
      <c r="K31" s="319"/>
    </row>
    <row r="32" spans="2:13" ht="12" customHeight="1">
      <c r="B32" s="349" t="s">
        <v>641</v>
      </c>
      <c r="C32" s="350">
        <f>EVEN(ROUNDDOWN(IF(AND(C7+C8+C9&gt;0.9,C4+C5+C6=0),(C7+C8)*C2/0.5,0),0))</f>
        <v>2</v>
      </c>
      <c r="D32" s="351"/>
      <c r="E32" s="347">
        <f t="shared" si="1"/>
        <v>0</v>
      </c>
      <c r="F32" s="348"/>
      <c r="G32" s="327"/>
      <c r="H32" s="327"/>
      <c r="I32" s="319"/>
      <c r="J32" s="319"/>
      <c r="K32" s="319"/>
    </row>
    <row r="33" spans="2:11" ht="12" customHeight="1">
      <c r="B33" s="349" t="s">
        <v>459</v>
      </c>
      <c r="C33" s="350">
        <f>IF(AND(C10+C11+C12&gt;0,C13+C14+C15=0,C19=1,C20=0,C18=1),(C4+C5+C7+C8+C6+C9),0)</f>
        <v>0</v>
      </c>
      <c r="D33" s="351"/>
      <c r="E33" s="347">
        <f>C33*D33</f>
        <v>0</v>
      </c>
      <c r="F33" s="348"/>
      <c r="G33" s="352"/>
      <c r="H33" s="319"/>
      <c r="I33" s="319"/>
      <c r="J33" s="319"/>
      <c r="K33" s="319"/>
    </row>
    <row r="34" spans="2:11" ht="12" customHeight="1">
      <c r="B34" s="349" t="s">
        <v>460</v>
      </c>
      <c r="C34" s="345">
        <f>IF(AND(C10+C11+C12&gt;0,C13+C14+C15=0,C19=1,C20=1,C18=1),(C4+C5+C7+C8+C6+C9),0)</f>
        <v>0</v>
      </c>
      <c r="D34" s="346"/>
      <c r="E34" s="347">
        <f>C34*D34</f>
        <v>0</v>
      </c>
      <c r="F34" s="348"/>
      <c r="G34" s="342"/>
      <c r="H34" s="342"/>
      <c r="I34" s="319"/>
      <c r="J34" s="319"/>
      <c r="K34" s="319"/>
    </row>
    <row r="35" spans="2:11" ht="12" customHeight="1">
      <c r="B35" s="349" t="s">
        <v>420</v>
      </c>
      <c r="C35" s="345">
        <f>IF(AND(C10+C11+C12&gt;0,C13+C14+C15=0,C19=1,C20=0,C18=1),(C4+C5+C7+C8+C6+C9),0)</f>
        <v>0</v>
      </c>
      <c r="D35" s="346">
        <v>1</v>
      </c>
      <c r="E35" s="347">
        <f t="shared" ref="E35:E36" si="2">C35*D35</f>
        <v>0</v>
      </c>
      <c r="F35" s="348"/>
      <c r="G35" s="791"/>
      <c r="H35" s="791"/>
      <c r="I35" s="319"/>
      <c r="J35" s="319"/>
      <c r="K35" s="319"/>
    </row>
    <row r="36" spans="2:11" ht="12" customHeight="1">
      <c r="B36" s="349" t="s">
        <v>421</v>
      </c>
      <c r="C36" s="345">
        <f>IF(AND(C10+C11+C12&gt;0,C13+C14+C15=0,C19=1,C20=1,C18=1),(C4+C5+C7+C8+C6+C9),0)</f>
        <v>0</v>
      </c>
      <c r="D36" s="346"/>
      <c r="E36" s="347">
        <f t="shared" si="2"/>
        <v>0</v>
      </c>
      <c r="F36" s="348"/>
      <c r="G36" s="791"/>
      <c r="H36" s="791"/>
      <c r="I36" s="319"/>
      <c r="J36" s="319"/>
      <c r="K36" s="319"/>
    </row>
    <row r="37" spans="2:11" ht="12" customHeight="1">
      <c r="B37" s="349" t="s">
        <v>420</v>
      </c>
      <c r="C37" s="350">
        <f>IF(AND(C10+C11+C12&gt;0,C13+C14+C15=0,C19=0,C20=0),(C4+C5+C7+C8+C6+C9)*2,0)</f>
        <v>0</v>
      </c>
      <c r="D37" s="351"/>
      <c r="E37" s="347">
        <f>C37*D37</f>
        <v>0</v>
      </c>
      <c r="F37" s="348"/>
      <c r="G37" s="352"/>
      <c r="H37" s="319"/>
      <c r="I37" s="319"/>
      <c r="J37" s="319"/>
      <c r="K37" s="319"/>
    </row>
    <row r="38" spans="2:11" ht="12" customHeight="1">
      <c r="B38" s="349" t="s">
        <v>421</v>
      </c>
      <c r="C38" s="353">
        <f>IF(AND(C10+C11+C12&gt;0,C13+C14+C15=0,C19=0,C20=1),(C4+C5+C7+C8+C6+C9)*2,0)</f>
        <v>0</v>
      </c>
      <c r="D38" s="354"/>
      <c r="E38" s="347">
        <f>C38*D38</f>
        <v>0</v>
      </c>
      <c r="F38" s="348"/>
      <c r="G38" s="319"/>
      <c r="H38" s="319"/>
      <c r="I38" s="319"/>
      <c r="J38" s="319"/>
      <c r="K38" s="319"/>
    </row>
    <row r="39" spans="2:11" ht="12" customHeight="1">
      <c r="B39" s="349" t="s">
        <v>420</v>
      </c>
      <c r="C39" s="350">
        <f>IF(AND(C10+C11+C12=0,C13+C14+C15&gt;0,C19=0,C20=0),(C4+C5+C7+C8+C6+C9),0)</f>
        <v>1</v>
      </c>
      <c r="D39" s="351"/>
      <c r="E39" s="347">
        <f t="shared" si="1"/>
        <v>0</v>
      </c>
      <c r="F39" s="348"/>
      <c r="G39" s="355"/>
      <c r="H39" s="342"/>
      <c r="I39" s="319"/>
      <c r="J39" s="319"/>
      <c r="K39" s="319"/>
    </row>
    <row r="40" spans="2:11" ht="12" customHeight="1">
      <c r="B40" s="349" t="s">
        <v>421</v>
      </c>
      <c r="C40" s="353">
        <f>IF(AND(C10+C11+C12=0,C13+C14+C15&gt;0,C19=0,C20=1),(C4+C5+C7+C8+C6+C9),0)</f>
        <v>0</v>
      </c>
      <c r="D40" s="354"/>
      <c r="E40" s="347">
        <f t="shared" si="1"/>
        <v>0</v>
      </c>
      <c r="F40" s="348"/>
      <c r="G40" s="319"/>
      <c r="H40" s="319"/>
      <c r="I40" s="319"/>
      <c r="J40" s="319"/>
      <c r="K40" s="319"/>
    </row>
    <row r="41" spans="2:11" ht="12" customHeight="1">
      <c r="B41" s="349" t="s">
        <v>511</v>
      </c>
      <c r="C41" s="350">
        <f>IF(AND(C10+C11=0,C13+C14&gt;0,C20=0),(C4+C5+C7+C8+C6+C9),0)</f>
        <v>1</v>
      </c>
      <c r="D41" s="351"/>
      <c r="E41" s="347">
        <f>C41*D41</f>
        <v>0</v>
      </c>
      <c r="F41" s="348"/>
      <c r="G41" s="319"/>
      <c r="H41" s="319"/>
      <c r="I41" s="319"/>
      <c r="J41" s="319"/>
      <c r="K41" s="319"/>
    </row>
    <row r="42" spans="2:11" ht="12" customHeight="1">
      <c r="B42" s="349" t="s">
        <v>512</v>
      </c>
      <c r="C42" s="353">
        <f>IF(AND(C10+C11=0,C13+C14&gt;0,C20=1),(C4+C5+C7+C8+C6+C9),0)</f>
        <v>0</v>
      </c>
      <c r="D42" s="354"/>
      <c r="E42" s="347">
        <f>C42*D42</f>
        <v>0</v>
      </c>
      <c r="F42" s="348"/>
      <c r="G42" s="319"/>
      <c r="H42" s="319"/>
      <c r="I42" s="319"/>
      <c r="J42" s="319"/>
      <c r="K42" s="319"/>
    </row>
    <row r="43" spans="2:11" ht="12" customHeight="1">
      <c r="B43" s="344" t="s">
        <v>642</v>
      </c>
      <c r="C43" s="353">
        <f>(C4+C5+C6)*2</f>
        <v>0</v>
      </c>
      <c r="D43" s="354"/>
      <c r="E43" s="347">
        <f t="shared" si="1"/>
        <v>0</v>
      </c>
      <c r="F43" s="348"/>
      <c r="G43" s="319"/>
      <c r="H43" s="319"/>
      <c r="I43" s="319"/>
      <c r="J43" s="319"/>
      <c r="K43" s="319"/>
    </row>
    <row r="44" spans="2:11" ht="12" customHeight="1">
      <c r="B44" s="349" t="s">
        <v>643</v>
      </c>
      <c r="C44" s="353">
        <f>IF(C4+C5=0,(C7+C8+C9)*2,0)</f>
        <v>2</v>
      </c>
      <c r="D44" s="354"/>
      <c r="E44" s="347">
        <f t="shared" si="1"/>
        <v>0</v>
      </c>
      <c r="F44" s="348"/>
      <c r="G44" s="319"/>
      <c r="H44" s="319"/>
      <c r="I44" s="319"/>
      <c r="J44" s="319"/>
      <c r="K44" s="319"/>
    </row>
    <row r="45" spans="2:11" ht="12" customHeight="1">
      <c r="B45" s="349" t="s">
        <v>432</v>
      </c>
      <c r="C45" s="345">
        <f>C4+C7</f>
        <v>1</v>
      </c>
      <c r="D45" s="346"/>
      <c r="E45" s="347">
        <f t="shared" si="1"/>
        <v>0</v>
      </c>
      <c r="F45" s="348"/>
      <c r="G45" s="319"/>
      <c r="H45" s="319"/>
      <c r="I45" s="319"/>
      <c r="J45" s="319"/>
      <c r="K45" s="319"/>
    </row>
    <row r="46" spans="2:11" ht="12" customHeight="1">
      <c r="B46" s="349" t="s">
        <v>433</v>
      </c>
      <c r="C46" s="350">
        <f>(C4+C7)*2</f>
        <v>2</v>
      </c>
      <c r="D46" s="351"/>
      <c r="E46" s="347">
        <f t="shared" si="1"/>
        <v>0</v>
      </c>
      <c r="F46" s="348"/>
      <c r="G46" s="319"/>
      <c r="H46" s="319"/>
      <c r="I46" s="319"/>
      <c r="J46" s="319"/>
      <c r="K46" s="319"/>
    </row>
    <row r="47" spans="2:11" ht="12" customHeight="1">
      <c r="B47" s="349" t="s">
        <v>600</v>
      </c>
      <c r="C47" s="350">
        <f>(C6+C9)*2</f>
        <v>0</v>
      </c>
      <c r="D47" s="351"/>
      <c r="E47" s="347">
        <f>C47*D47</f>
        <v>0</v>
      </c>
      <c r="F47" s="348"/>
      <c r="G47" s="319"/>
      <c r="H47" s="319"/>
      <c r="I47" s="319"/>
      <c r="J47" s="319"/>
      <c r="K47" s="319"/>
    </row>
    <row r="48" spans="2:11" ht="12" customHeight="1">
      <c r="B48" s="349" t="s">
        <v>434</v>
      </c>
      <c r="C48" s="350">
        <f>C5+C8+C6+C9</f>
        <v>0</v>
      </c>
      <c r="D48" s="351"/>
      <c r="E48" s="347">
        <f t="shared" si="1"/>
        <v>0</v>
      </c>
      <c r="F48" s="348"/>
      <c r="G48" s="319"/>
      <c r="H48" s="319"/>
      <c r="I48" s="319"/>
      <c r="J48" s="319"/>
      <c r="K48" s="319"/>
    </row>
    <row r="49" spans="2:11" ht="12" customHeight="1">
      <c r="B49" s="349" t="s">
        <v>644</v>
      </c>
      <c r="C49" s="350">
        <f>IF(C17=0,(C7+C8+C9)*2,0)</f>
        <v>2</v>
      </c>
      <c r="D49" s="351"/>
      <c r="E49" s="347">
        <f t="shared" si="1"/>
        <v>0</v>
      </c>
      <c r="F49" s="348"/>
      <c r="G49" s="319"/>
      <c r="H49" s="319"/>
      <c r="I49" s="319"/>
      <c r="J49" s="319"/>
      <c r="K49" s="319"/>
    </row>
    <row r="50" spans="2:11" ht="12" customHeight="1">
      <c r="B50" s="349" t="s">
        <v>474</v>
      </c>
      <c r="C50" s="350">
        <f>C24*C2*(C4+C5+C7+C8+C6+C9)</f>
        <v>0</v>
      </c>
      <c r="D50" s="351"/>
      <c r="E50" s="347">
        <f>C50*D50</f>
        <v>0</v>
      </c>
      <c r="F50" s="348"/>
      <c r="G50" s="319"/>
      <c r="H50" s="319"/>
      <c r="I50" s="319"/>
      <c r="J50" s="319"/>
      <c r="K50" s="319"/>
    </row>
    <row r="51" spans="2:11" ht="12" customHeight="1">
      <c r="B51" s="344" t="s">
        <v>474</v>
      </c>
      <c r="C51" s="350">
        <f>C2*(C4+C5+C7+C8+C6+C9)</f>
        <v>1</v>
      </c>
      <c r="D51" s="351"/>
      <c r="E51" s="347">
        <f t="shared" si="1"/>
        <v>0</v>
      </c>
      <c r="F51" s="348"/>
      <c r="G51" s="319"/>
      <c r="H51" s="319"/>
      <c r="I51" s="319"/>
      <c r="J51" s="319"/>
      <c r="K51" s="319"/>
    </row>
    <row r="52" spans="2:11" ht="12" customHeight="1">
      <c r="B52" s="349" t="s">
        <v>363</v>
      </c>
      <c r="C52" s="350">
        <f>C23*2*C2*(C4+C5+C7+C8+C6+C9)</f>
        <v>0</v>
      </c>
      <c r="D52" s="351"/>
      <c r="E52" s="347">
        <f t="shared" si="1"/>
        <v>0</v>
      </c>
      <c r="F52" s="348"/>
      <c r="G52" s="319"/>
      <c r="H52" s="319"/>
      <c r="I52" s="319"/>
      <c r="J52" s="319"/>
      <c r="K52" s="319"/>
    </row>
    <row r="53" spans="2:11" ht="12" customHeight="1">
      <c r="B53" s="349" t="s">
        <v>477</v>
      </c>
      <c r="C53" s="350">
        <f>C22*C2*(C4+C5+C7+C8+C6+C9)</f>
        <v>0</v>
      </c>
      <c r="D53" s="356"/>
      <c r="E53" s="347">
        <f t="shared" si="1"/>
        <v>0</v>
      </c>
      <c r="F53" s="348"/>
      <c r="G53" s="319"/>
      <c r="H53" s="319"/>
      <c r="I53" s="319"/>
      <c r="J53" s="319"/>
      <c r="K53" s="319"/>
    </row>
    <row r="54" spans="2:11" ht="12" customHeight="1">
      <c r="B54" s="349" t="s">
        <v>467</v>
      </c>
      <c r="C54" s="350">
        <f>C24*C2*(C4+C5+C7+C8+C6+C9)</f>
        <v>0</v>
      </c>
      <c r="D54" s="351"/>
      <c r="E54" s="347">
        <f t="shared" si="1"/>
        <v>0</v>
      </c>
      <c r="F54" s="348"/>
      <c r="G54" s="319"/>
      <c r="H54" s="319"/>
      <c r="I54" s="319"/>
      <c r="J54" s="319"/>
      <c r="K54" s="319"/>
    </row>
    <row r="55" spans="2:11" ht="12" customHeight="1">
      <c r="B55" s="349" t="s">
        <v>645</v>
      </c>
      <c r="C55" s="350">
        <f>C22*C2*(C4+C5+C7+C8+C6+C9)</f>
        <v>0</v>
      </c>
      <c r="D55" s="351"/>
      <c r="E55" s="347">
        <f>C55*D55</f>
        <v>0</v>
      </c>
      <c r="F55" s="348"/>
      <c r="G55" s="319"/>
      <c r="H55" s="319"/>
      <c r="I55" s="319"/>
      <c r="J55" s="319"/>
      <c r="K55" s="319"/>
    </row>
    <row r="56" spans="2:11" ht="12" customHeight="1">
      <c r="B56" s="349" t="s">
        <v>364</v>
      </c>
      <c r="C56" s="350">
        <f>C21*C2*(C4+C5+C7+C8+C6+C9)</f>
        <v>0</v>
      </c>
      <c r="D56" s="351"/>
      <c r="E56" s="347">
        <f t="shared" si="1"/>
        <v>0</v>
      </c>
      <c r="F56" s="348"/>
      <c r="G56" s="319"/>
      <c r="H56" s="319"/>
      <c r="I56" s="319"/>
      <c r="J56" s="319"/>
      <c r="K56" s="319"/>
    </row>
    <row r="57" spans="2:11" ht="12" customHeight="1">
      <c r="B57" s="349" t="s">
        <v>365</v>
      </c>
      <c r="C57" s="357">
        <f>C23*C2*(C4+C5+C7+C8+C6+C9)</f>
        <v>0</v>
      </c>
      <c r="D57" s="351"/>
      <c r="E57" s="347">
        <f t="shared" si="1"/>
        <v>0</v>
      </c>
      <c r="F57" s="348"/>
      <c r="G57" s="319"/>
      <c r="H57" s="319"/>
      <c r="I57" s="319"/>
      <c r="J57" s="319"/>
      <c r="K57" s="319"/>
    </row>
    <row r="58" spans="2:11" ht="12" customHeight="1">
      <c r="B58" s="344" t="s">
        <v>461</v>
      </c>
      <c r="C58" s="357">
        <f>(C4+C7)*C2</f>
        <v>1</v>
      </c>
      <c r="D58" s="351"/>
      <c r="E58" s="347">
        <f t="shared" si="1"/>
        <v>0</v>
      </c>
      <c r="F58" s="348"/>
      <c r="G58" s="319"/>
      <c r="H58" s="319"/>
      <c r="I58" s="319"/>
      <c r="J58" s="319"/>
      <c r="K58" s="319"/>
    </row>
    <row r="59" spans="2:11" ht="12" customHeight="1">
      <c r="B59" s="344" t="s">
        <v>462</v>
      </c>
      <c r="C59" s="357">
        <f>(C5+C8)*C2</f>
        <v>0</v>
      </c>
      <c r="D59" s="351"/>
      <c r="E59" s="347">
        <f t="shared" si="1"/>
        <v>0</v>
      </c>
      <c r="F59" s="348"/>
      <c r="G59" s="352"/>
      <c r="H59" s="319"/>
      <c r="I59" s="319"/>
      <c r="J59" s="319"/>
      <c r="K59" s="319"/>
    </row>
    <row r="60" spans="2:11" ht="12" customHeight="1">
      <c r="B60" s="344" t="s">
        <v>601</v>
      </c>
      <c r="C60" s="357">
        <f>(C6+C9)*C2</f>
        <v>0</v>
      </c>
      <c r="D60" s="351"/>
      <c r="E60" s="347">
        <f>C60*D60</f>
        <v>0</v>
      </c>
      <c r="F60" s="348"/>
      <c r="G60" s="352"/>
      <c r="H60" s="319"/>
      <c r="I60" s="319"/>
      <c r="J60" s="319"/>
      <c r="K60" s="319"/>
    </row>
    <row r="61" spans="2:11" ht="12" customHeight="1">
      <c r="B61" s="344" t="s">
        <v>422</v>
      </c>
      <c r="C61" s="357">
        <f>IF(C4+C5=0,(C7+C8+C9)*C2,0)</f>
        <v>1</v>
      </c>
      <c r="D61" s="351"/>
      <c r="E61" s="347">
        <f t="shared" si="1"/>
        <v>0</v>
      </c>
      <c r="F61" s="348"/>
      <c r="G61" s="319"/>
      <c r="H61" s="319"/>
      <c r="I61" s="319"/>
      <c r="J61" s="319"/>
      <c r="K61" s="319"/>
    </row>
    <row r="62" spans="2:11" ht="12" customHeight="1">
      <c r="B62" s="349" t="s">
        <v>646</v>
      </c>
      <c r="C62" s="357">
        <f>C18*(C4+C5+C7+C8+C6+C9)</f>
        <v>0</v>
      </c>
      <c r="D62" s="356"/>
      <c r="E62" s="347">
        <f t="shared" si="1"/>
        <v>0</v>
      </c>
      <c r="F62" s="348"/>
      <c r="G62" s="319"/>
      <c r="H62" s="319"/>
      <c r="I62" s="319"/>
      <c r="J62" s="319"/>
      <c r="K62" s="319"/>
    </row>
    <row r="63" spans="2:11" ht="12" customHeight="1">
      <c r="B63" s="349" t="s">
        <v>647</v>
      </c>
      <c r="C63" s="357">
        <f>IF(C18=0,C4+C5+C7+C8+C6+C9,0)</f>
        <v>1</v>
      </c>
      <c r="D63" s="351"/>
      <c r="E63" s="347">
        <f t="shared" si="1"/>
        <v>0</v>
      </c>
      <c r="F63" s="348"/>
      <c r="G63" s="319"/>
      <c r="H63" s="319"/>
      <c r="I63" s="319"/>
      <c r="J63" s="319"/>
      <c r="K63" s="319"/>
    </row>
    <row r="64" spans="2:11" ht="12" customHeight="1">
      <c r="B64" s="349" t="s">
        <v>424</v>
      </c>
      <c r="C64" s="357">
        <f>(C7+C8+C9)*4</f>
        <v>4</v>
      </c>
      <c r="D64" s="351"/>
      <c r="E64" s="347">
        <f t="shared" si="1"/>
        <v>0</v>
      </c>
      <c r="F64" s="348"/>
      <c r="G64" s="319"/>
      <c r="H64" s="319"/>
      <c r="I64" s="319"/>
      <c r="J64" s="319"/>
      <c r="K64" s="319"/>
    </row>
    <row r="65" spans="2:11" ht="12" customHeight="1">
      <c r="B65" s="349" t="s">
        <v>648</v>
      </c>
      <c r="C65" s="357">
        <f>C17*(C4+C5+C7+C8+C6+C9)</f>
        <v>0</v>
      </c>
      <c r="D65" s="356"/>
      <c r="E65" s="347">
        <f t="shared" si="1"/>
        <v>0</v>
      </c>
      <c r="F65" s="348"/>
      <c r="G65" s="319"/>
      <c r="H65" s="319"/>
      <c r="I65" s="319"/>
      <c r="J65" s="319"/>
      <c r="K65" s="319"/>
    </row>
    <row r="66" spans="2:11" ht="12" customHeight="1">
      <c r="B66" s="349" t="s">
        <v>425</v>
      </c>
      <c r="C66" s="357">
        <f>IF(C17=1,(C4+C5+C7+C8+C6+C9)*C3*2+0.3,0)</f>
        <v>0</v>
      </c>
      <c r="D66" s="351"/>
      <c r="E66" s="347">
        <f t="shared" si="1"/>
        <v>0</v>
      </c>
      <c r="F66" s="348"/>
      <c r="G66" s="352"/>
      <c r="H66" s="319"/>
      <c r="I66" s="319"/>
      <c r="J66" s="319"/>
      <c r="K66" s="319"/>
    </row>
    <row r="67" spans="2:11" ht="12" customHeight="1">
      <c r="B67" s="349" t="s">
        <v>649</v>
      </c>
      <c r="C67" s="357">
        <f>IF(AND(C19=1,C17=1),(C4+C5+C7+C8+C6+C9)*2,0)</f>
        <v>0</v>
      </c>
      <c r="D67" s="351"/>
      <c r="E67" s="347">
        <f t="shared" si="1"/>
        <v>0</v>
      </c>
      <c r="F67" s="348"/>
      <c r="G67" s="319"/>
      <c r="H67" s="319"/>
      <c r="I67" s="319"/>
      <c r="J67" s="319"/>
      <c r="K67" s="319"/>
    </row>
    <row r="68" spans="2:11" ht="12" customHeight="1">
      <c r="B68" s="349" t="s">
        <v>650</v>
      </c>
      <c r="C68" s="357">
        <f>IF(C17=1,(C5+C7+C8+C4+C6+C9)*2,0)</f>
        <v>0</v>
      </c>
      <c r="D68" s="351"/>
      <c r="E68" s="347">
        <f t="shared" si="1"/>
        <v>0</v>
      </c>
      <c r="F68" s="348"/>
      <c r="G68" s="319"/>
      <c r="H68" s="319"/>
      <c r="I68" s="319"/>
      <c r="J68" s="319"/>
      <c r="K68" s="319"/>
    </row>
    <row r="69" spans="2:11" ht="12" customHeight="1">
      <c r="B69" s="349" t="s">
        <v>428</v>
      </c>
      <c r="C69" s="357">
        <f>C17*2*(C4+C5+C7+C8+C6+C9)</f>
        <v>0</v>
      </c>
      <c r="D69" s="351"/>
      <c r="E69" s="347">
        <f t="shared" si="1"/>
        <v>0</v>
      </c>
      <c r="F69" s="348"/>
      <c r="G69" s="319"/>
      <c r="H69" s="319"/>
      <c r="I69" s="319"/>
      <c r="J69" s="319"/>
      <c r="K69" s="319"/>
    </row>
    <row r="70" spans="2:11" ht="12" customHeight="1">
      <c r="B70" s="349" t="s">
        <v>476</v>
      </c>
      <c r="C70" s="357">
        <f>C17*(C4+C5+C7+C8+C6+C9)</f>
        <v>0</v>
      </c>
      <c r="D70" s="358"/>
      <c r="E70" s="347">
        <f t="shared" si="1"/>
        <v>0</v>
      </c>
      <c r="F70" s="348"/>
      <c r="G70" s="319"/>
      <c r="H70" s="319"/>
      <c r="I70" s="319"/>
      <c r="J70" s="319"/>
      <c r="K70" s="319"/>
    </row>
    <row r="71" spans="2:11" ht="12" customHeight="1">
      <c r="B71" s="349" t="s">
        <v>429</v>
      </c>
      <c r="C71" s="357">
        <f>C17*2*(C4+C5+C7+C8+C6+C9)</f>
        <v>0</v>
      </c>
      <c r="D71" s="358"/>
      <c r="E71" s="347">
        <f t="shared" si="1"/>
        <v>0</v>
      </c>
      <c r="F71" s="348"/>
      <c r="G71" s="319"/>
      <c r="H71" s="319"/>
      <c r="I71" s="319"/>
      <c r="J71" s="319"/>
      <c r="K71" s="319"/>
    </row>
    <row r="72" spans="2:11" ht="12" customHeight="1">
      <c r="B72" s="349" t="s">
        <v>430</v>
      </c>
      <c r="C72" s="357">
        <f>C17*4*(C4+C5+C7+C8+C6+C9)</f>
        <v>0</v>
      </c>
      <c r="D72" s="351"/>
      <c r="E72" s="347">
        <f t="shared" si="1"/>
        <v>0</v>
      </c>
      <c r="F72" s="348"/>
      <c r="G72" s="319"/>
      <c r="H72" s="319"/>
      <c r="I72" s="319"/>
      <c r="J72" s="319"/>
      <c r="K72" s="319"/>
    </row>
    <row r="73" spans="2:11" ht="12" customHeight="1">
      <c r="B73" s="349" t="s">
        <v>431</v>
      </c>
      <c r="C73" s="357">
        <f>C17*4*(C4+C5+C7+C8+C6+C9)</f>
        <v>0</v>
      </c>
      <c r="D73" s="351"/>
      <c r="E73" s="347">
        <f t="shared" si="1"/>
        <v>0</v>
      </c>
      <c r="F73" s="348"/>
      <c r="G73" s="319"/>
      <c r="H73" s="319"/>
      <c r="I73" s="319"/>
      <c r="J73" s="319"/>
      <c r="K73" s="319"/>
    </row>
    <row r="74" spans="2:11" ht="12" customHeight="1">
      <c r="B74" s="359" t="s">
        <v>378</v>
      </c>
      <c r="C74" s="357">
        <f>C10*(C4+C7)</f>
        <v>0</v>
      </c>
      <c r="D74" s="356"/>
      <c r="E74" s="347">
        <f t="shared" si="1"/>
        <v>0</v>
      </c>
      <c r="F74" s="348"/>
      <c r="G74" s="360"/>
      <c r="H74" s="360"/>
      <c r="I74" s="319"/>
      <c r="J74" s="319"/>
      <c r="K74" s="319"/>
    </row>
    <row r="75" spans="2:11" ht="12" customHeight="1">
      <c r="B75" s="359" t="s">
        <v>598</v>
      </c>
      <c r="C75" s="357">
        <f>C13*(C4+C7)</f>
        <v>1</v>
      </c>
      <c r="D75" s="356"/>
      <c r="E75" s="347">
        <f t="shared" si="1"/>
        <v>0</v>
      </c>
      <c r="F75" s="348"/>
      <c r="G75" s="361"/>
      <c r="H75" s="319"/>
      <c r="I75" s="319"/>
      <c r="J75" s="319"/>
      <c r="K75" s="319"/>
    </row>
    <row r="76" spans="2:11" ht="12" customHeight="1">
      <c r="B76" s="359" t="s">
        <v>436</v>
      </c>
      <c r="C76" s="357">
        <f>C11*(C5+C8)</f>
        <v>0</v>
      </c>
      <c r="D76" s="351"/>
      <c r="E76" s="347">
        <f t="shared" si="1"/>
        <v>0</v>
      </c>
      <c r="F76" s="348"/>
      <c r="G76" s="362"/>
      <c r="H76" s="319"/>
      <c r="I76" s="319"/>
      <c r="J76" s="319"/>
      <c r="K76" s="319"/>
    </row>
    <row r="77" spans="2:11" ht="12" customHeight="1">
      <c r="B77" s="359" t="s">
        <v>602</v>
      </c>
      <c r="C77" s="357">
        <f>C12*(C6+C9)</f>
        <v>0</v>
      </c>
      <c r="D77" s="351"/>
      <c r="E77" s="347">
        <f>C77*D77</f>
        <v>0</v>
      </c>
      <c r="F77" s="348"/>
      <c r="G77" s="362"/>
      <c r="H77" s="319"/>
      <c r="I77" s="319"/>
      <c r="J77" s="319"/>
      <c r="K77" s="319"/>
    </row>
    <row r="78" spans="2:11" ht="12" customHeight="1">
      <c r="B78" s="359" t="s">
        <v>603</v>
      </c>
      <c r="C78" s="357">
        <f>C15*(C6+C9)</f>
        <v>0</v>
      </c>
      <c r="D78" s="351"/>
      <c r="E78" s="347">
        <f>C78*D78</f>
        <v>0</v>
      </c>
      <c r="F78" s="348"/>
      <c r="G78" s="362"/>
      <c r="H78" s="319"/>
      <c r="I78" s="319"/>
      <c r="J78" s="319"/>
      <c r="K78" s="319"/>
    </row>
    <row r="79" spans="2:11" ht="12" customHeight="1">
      <c r="B79" s="528" t="s">
        <v>145</v>
      </c>
      <c r="C79" s="509">
        <f>C26</f>
        <v>0</v>
      </c>
      <c r="D79" s="525"/>
      <c r="E79" s="403">
        <f t="shared" ref="E79:E80" si="3">C79*D79</f>
        <v>0</v>
      </c>
      <c r="F79" s="348"/>
      <c r="G79" s="362"/>
      <c r="H79" s="319"/>
      <c r="I79" s="319"/>
      <c r="J79" s="319"/>
      <c r="K79" s="319"/>
    </row>
    <row r="80" spans="2:11" ht="12" customHeight="1">
      <c r="B80" s="454" t="s">
        <v>148</v>
      </c>
      <c r="C80" s="350">
        <f>C25</f>
        <v>0</v>
      </c>
      <c r="D80" s="356"/>
      <c r="E80" s="347">
        <f t="shared" si="3"/>
        <v>0</v>
      </c>
      <c r="F80" s="348"/>
      <c r="G80" s="362"/>
      <c r="H80" s="319"/>
      <c r="I80" s="319"/>
      <c r="J80" s="319"/>
      <c r="K80" s="319"/>
    </row>
    <row r="81" spans="1:11" ht="12" customHeight="1" thickBot="1">
      <c r="B81" s="388" t="s">
        <v>599</v>
      </c>
      <c r="C81" s="389">
        <f>C14*(C5+C8)</f>
        <v>0</v>
      </c>
      <c r="D81" s="390"/>
      <c r="E81" s="391">
        <f t="shared" si="1"/>
        <v>0</v>
      </c>
      <c r="F81" s="348"/>
      <c r="G81" s="362"/>
      <c r="H81" s="319"/>
      <c r="I81" s="319"/>
      <c r="J81" s="319"/>
      <c r="K81" s="319"/>
    </row>
    <row r="82" spans="1:11" ht="12" customHeight="1" thickBot="1">
      <c r="B82" s="319"/>
      <c r="C82" s="319"/>
      <c r="D82" s="387" t="s">
        <v>9</v>
      </c>
      <c r="E82" s="392">
        <f>SUMIF(E29:E81,"&gt;0",E29:E81)</f>
        <v>0</v>
      </c>
      <c r="F82" s="363"/>
      <c r="G82" s="362"/>
      <c r="H82" s="319"/>
      <c r="I82" s="319"/>
      <c r="J82" s="319"/>
      <c r="K82" s="319"/>
    </row>
    <row r="83" spans="1:11" ht="12" customHeight="1">
      <c r="B83" s="319"/>
      <c r="C83" s="319"/>
      <c r="D83" s="319"/>
      <c r="E83" s="319"/>
      <c r="F83" s="319"/>
      <c r="G83" s="362"/>
      <c r="H83" s="319"/>
      <c r="I83" s="319"/>
      <c r="J83" s="319"/>
      <c r="K83" s="319"/>
    </row>
    <row r="84" spans="1:11" ht="12" customHeight="1">
      <c r="B84" s="364"/>
      <c r="C84" s="364"/>
      <c r="D84" s="364"/>
      <c r="E84" s="364"/>
      <c r="F84" s="365"/>
      <c r="G84" s="365"/>
      <c r="H84" s="327"/>
      <c r="I84" s="319"/>
      <c r="J84" s="319"/>
      <c r="K84" s="319"/>
    </row>
    <row r="85" spans="1:11" ht="12" customHeight="1">
      <c r="A85" s="309"/>
      <c r="B85" s="337"/>
      <c r="C85" s="338"/>
      <c r="D85" s="339"/>
      <c r="E85" s="340"/>
      <c r="F85" s="340"/>
      <c r="G85" s="319"/>
      <c r="H85" s="319"/>
      <c r="I85" s="319"/>
      <c r="J85" s="319"/>
      <c r="K85" s="319"/>
    </row>
    <row r="86" spans="1:11" ht="12" customHeight="1">
      <c r="A86" s="309"/>
      <c r="B86" s="251"/>
      <c r="C86" s="316"/>
      <c r="D86" s="314"/>
      <c r="E86" s="310"/>
      <c r="F86" s="310"/>
    </row>
    <row r="87" spans="1:11" ht="12" customHeight="1">
      <c r="A87" s="309"/>
      <c r="B87" s="251"/>
      <c r="C87" s="316"/>
      <c r="D87" s="314"/>
      <c r="E87" s="310"/>
      <c r="F87" s="310"/>
    </row>
    <row r="88" spans="1:11" ht="12" customHeight="1">
      <c r="A88" s="309"/>
      <c r="B88" s="251"/>
      <c r="C88" s="316"/>
      <c r="D88" s="314"/>
      <c r="E88" s="310"/>
      <c r="F88" s="310"/>
    </row>
    <row r="89" spans="1:11" ht="12" customHeight="1">
      <c r="A89" s="309"/>
      <c r="B89" s="251"/>
      <c r="C89" s="316"/>
      <c r="D89" s="314"/>
      <c r="E89" s="310"/>
      <c r="F89" s="310"/>
    </row>
    <row r="90" spans="1:11" ht="12" customHeight="1">
      <c r="A90" s="309"/>
      <c r="B90" s="251"/>
      <c r="C90" s="316"/>
      <c r="D90" s="314"/>
      <c r="E90" s="310"/>
      <c r="F90" s="310"/>
    </row>
    <row r="91" spans="1:11" ht="12" customHeight="1">
      <c r="A91" s="309"/>
      <c r="B91" s="312"/>
      <c r="C91" s="316"/>
      <c r="D91" s="313"/>
      <c r="E91" s="310"/>
      <c r="F91" s="310"/>
    </row>
    <row r="92" spans="1:11" ht="12" customHeight="1">
      <c r="A92" s="309"/>
      <c r="B92" s="312"/>
      <c r="C92" s="316"/>
      <c r="D92" s="313"/>
      <c r="E92" s="310"/>
      <c r="F92" s="310"/>
    </row>
    <row r="93" spans="1:11" ht="12" customHeight="1">
      <c r="A93" s="309"/>
      <c r="B93" s="312"/>
      <c r="C93" s="316"/>
      <c r="D93" s="313"/>
      <c r="E93" s="310"/>
      <c r="F93" s="310"/>
    </row>
    <row r="94" spans="1:11" ht="12" customHeight="1">
      <c r="A94" s="309"/>
      <c r="B94" s="312"/>
      <c r="C94" s="316"/>
      <c r="D94" s="315"/>
      <c r="E94" s="310"/>
      <c r="F94" s="310"/>
    </row>
    <row r="95" spans="1:11" ht="12" customHeight="1">
      <c r="A95" s="309"/>
      <c r="B95" s="312"/>
      <c r="C95" s="316"/>
      <c r="D95" s="315"/>
      <c r="E95" s="310"/>
      <c r="F95" s="310"/>
    </row>
    <row r="96" spans="1:11" ht="12" customHeight="1">
      <c r="A96" s="309"/>
      <c r="B96" s="312"/>
      <c r="C96" s="316"/>
      <c r="D96" s="315"/>
      <c r="E96" s="310"/>
      <c r="F96" s="310"/>
    </row>
    <row r="97" spans="1:6" ht="12" customHeight="1">
      <c r="A97" s="309"/>
      <c r="B97" s="312"/>
      <c r="C97" s="316"/>
      <c r="D97" s="313"/>
      <c r="E97" s="310"/>
      <c r="F97" s="310"/>
    </row>
    <row r="98" spans="1:6" ht="12" customHeight="1">
      <c r="A98" s="309"/>
      <c r="B98" s="312"/>
      <c r="C98" s="316"/>
      <c r="D98" s="313"/>
      <c r="E98" s="310"/>
      <c r="F98" s="310"/>
    </row>
    <row r="99" spans="1:6" ht="12" customHeight="1">
      <c r="A99" s="309"/>
      <c r="B99" s="312"/>
      <c r="C99" s="316"/>
      <c r="D99" s="313"/>
      <c r="E99" s="310"/>
      <c r="F99" s="310"/>
    </row>
    <row r="100" spans="1:6" ht="12" customHeight="1">
      <c r="B100" s="251"/>
      <c r="C100" s="251"/>
      <c r="D100" s="259"/>
      <c r="E100" s="317"/>
      <c r="F100" s="267"/>
    </row>
    <row r="101" spans="1:6" ht="12" customHeight="1"/>
    <row r="102" spans="1:6" ht="12" customHeight="1"/>
  </sheetData>
  <sheetProtection algorithmName="SHA-512" hashValue="1qoWnczuxbbW18KvTzpkHSwj7PraV4XtddvvH+WoAb9/X9512QOyoAhWkTloIa4RloSpxbQ25mijT9Z/4+lX1g==" saltValue="C59kqRgbwEIN85FcYdL7lQ==" spinCount="100000" sheet="1"/>
  <mergeCells count="7">
    <mergeCell ref="F21:F24"/>
    <mergeCell ref="B27:E27"/>
    <mergeCell ref="D2:F3"/>
    <mergeCell ref="D4:F9"/>
    <mergeCell ref="F10:F15"/>
    <mergeCell ref="D25:F25"/>
    <mergeCell ref="D26:F26"/>
  </mergeCells>
  <conditionalFormatting sqref="B92:B94">
    <cfRule type="iconSet" priority="80">
      <iconSet iconSet="3Symbols">
        <cfvo type="percent" val="0"/>
        <cfvo type="percent" val="33"/>
        <cfvo type="percent" val="67"/>
      </iconSet>
    </cfRule>
    <cfRule type="expression" priority="84">
      <formula>"H71=1"</formula>
    </cfRule>
  </conditionalFormatting>
  <conditionalFormatting sqref="B92"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J84">
    <cfRule type="iconSet" priority="81">
      <iconSet iconSet="3Symbols">
        <cfvo type="percent" val="0"/>
        <cfvo type="percent" val="33"/>
        <cfvo type="percent" val="67"/>
      </iconSet>
    </cfRule>
  </conditionalFormatting>
  <conditionalFormatting sqref="N65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5:A91">
    <cfRule type="colorScale" priority="7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A85:A99">
    <cfRule type="cellIs" dxfId="603" priority="72" operator="equal">
      <formula>"ДА"</formula>
    </cfRule>
    <cfRule type="cellIs" dxfId="602" priority="73" operator="equal">
      <formula>"НЕТ"</formula>
    </cfRule>
  </conditionalFormatting>
  <conditionalFormatting sqref="C85:C86 C92:C94 C88:C90 C97:C99">
    <cfRule type="cellIs" dxfId="601" priority="69" operator="equal">
      <formula>"ДА"</formula>
    </cfRule>
    <cfRule type="cellIs" dxfId="600" priority="70" operator="equal">
      <formula>"НЕТ"</formula>
    </cfRule>
  </conditionalFormatting>
  <conditionalFormatting sqref="C85:C86 C88:C90">
    <cfRule type="colorScale" priority="7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91">
    <cfRule type="cellIs" dxfId="599" priority="66" operator="equal">
      <formula>"ДА"</formula>
    </cfRule>
    <cfRule type="cellIs" dxfId="598" priority="67" operator="equal">
      <formula>"НЕТ"</formula>
    </cfRule>
  </conditionalFormatting>
  <conditionalFormatting sqref="C87">
    <cfRule type="cellIs" dxfId="597" priority="63" operator="equal">
      <formula>"ДА"</formula>
    </cfRule>
    <cfRule type="cellIs" dxfId="596" priority="64" operator="equal">
      <formula>"НЕТ"</formula>
    </cfRule>
  </conditionalFormatting>
  <conditionalFormatting sqref="C91">
    <cfRule type="colorScale" priority="6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95">
    <cfRule type="cellIs" dxfId="595" priority="59" operator="equal">
      <formula>"ДА"</formula>
    </cfRule>
    <cfRule type="cellIs" dxfId="594" priority="60" operator="equal">
      <formula>"НЕТ"</formula>
    </cfRule>
  </conditionalFormatting>
  <conditionalFormatting sqref="C87">
    <cfRule type="colorScale" priority="6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B95">
    <cfRule type="iconSet" priority="61">
      <iconSet iconSet="3Symbols">
        <cfvo type="percent" val="0"/>
        <cfvo type="percent" val="33"/>
        <cfvo type="percent" val="67"/>
      </iconSet>
    </cfRule>
    <cfRule type="expression" priority="62">
      <formula>"H71=1"</formula>
    </cfRule>
  </conditionalFormatting>
  <conditionalFormatting sqref="C96">
    <cfRule type="cellIs" dxfId="593" priority="55" operator="equal">
      <formula>"ДА"</formula>
    </cfRule>
    <cfRule type="cellIs" dxfId="592" priority="56" operator="equal">
      <formula>"НЕТ"</formula>
    </cfRule>
  </conditionalFormatting>
  <conditionalFormatting sqref="B96">
    <cfRule type="iconSet" priority="57">
      <iconSet iconSet="3Symbols">
        <cfvo type="percent" val="0"/>
        <cfvo type="percent" val="33"/>
        <cfvo type="percent" val="67"/>
      </iconSet>
    </cfRule>
    <cfRule type="expression" priority="58">
      <formula>"H71=1"</formula>
    </cfRule>
  </conditionalFormatting>
  <conditionalFormatting sqref="I20">
    <cfRule type="cellIs" dxfId="591" priority="49" operator="equal">
      <formula>"ДА"</formula>
    </cfRule>
    <cfRule type="cellIs" dxfId="590" priority="50" operator="equal">
      <formula>"НЕТ"</formula>
    </cfRule>
  </conditionalFormatting>
  <conditionalFormatting sqref="H10:H12">
    <cfRule type="iconSet" priority="33">
      <iconSet iconSet="3Symbols">
        <cfvo type="percent" val="0"/>
        <cfvo type="percent" val="33"/>
        <cfvo type="percent" val="67"/>
      </iconSet>
    </cfRule>
    <cfRule type="expression" priority="34">
      <formula>"H71=1"</formula>
    </cfRule>
  </conditionalFormatting>
  <conditionalFormatting sqref="H10">
    <cfRule type="iconSet" priority="32">
      <iconSet iconSet="3Symbols">
        <cfvo type="percent" val="0"/>
        <cfvo type="percent" val="33"/>
        <cfvo type="percent" val="67"/>
      </iconSet>
    </cfRule>
  </conditionalFormatting>
  <conditionalFormatting sqref="I3:I4 I10:I12 I6:I8 I15:I17">
    <cfRule type="cellIs" dxfId="589" priority="29" operator="equal">
      <formula>"ДА"</formula>
    </cfRule>
    <cfRule type="cellIs" dxfId="588" priority="30" operator="equal">
      <formula>"НЕТ"</formula>
    </cfRule>
  </conditionalFormatting>
  <conditionalFormatting sqref="I3:I4 I6:I8">
    <cfRule type="colorScale" priority="3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587" priority="26" operator="equal">
      <formula>"ДА"</formula>
    </cfRule>
    <cfRule type="cellIs" dxfId="586" priority="27" operator="equal">
      <formula>"НЕТ"</formula>
    </cfRule>
  </conditionalFormatting>
  <conditionalFormatting sqref="I5">
    <cfRule type="cellIs" dxfId="585" priority="23" operator="equal">
      <formula>"ДА"</formula>
    </cfRule>
    <cfRule type="cellIs" dxfId="584" priority="24" operator="equal">
      <formula>"НЕТ"</formula>
    </cfRule>
  </conditionalFormatting>
  <conditionalFormatting sqref="I9">
    <cfRule type="colorScale" priority="2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583" priority="19" operator="equal">
      <formula>"ДА"</formula>
    </cfRule>
    <cfRule type="cellIs" dxfId="582" priority="20" operator="equal">
      <formula>"НЕТ"</formula>
    </cfRule>
  </conditionalFormatting>
  <conditionalFormatting sqref="I5">
    <cfRule type="colorScale" priority="2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I14">
    <cfRule type="cellIs" dxfId="581" priority="15" operator="equal">
      <formula>"ДА"</formula>
    </cfRule>
    <cfRule type="cellIs" dxfId="580" priority="16" operator="equal">
      <formula>"НЕТ"</formula>
    </cfRule>
  </conditionalFormatting>
  <conditionalFormatting sqref="H14">
    <cfRule type="iconSet" priority="17">
      <iconSet iconSet="3Symbols">
        <cfvo type="percent" val="0"/>
        <cfvo type="percent" val="33"/>
        <cfvo type="percent" val="67"/>
      </iconSet>
    </cfRule>
    <cfRule type="expression" priority="18">
      <formula>"H71=1"</formula>
    </cfRule>
  </conditionalFormatting>
  <conditionalFormatting sqref="I18">
    <cfRule type="cellIs" dxfId="579" priority="11" operator="equal">
      <formula>"ДА"</formula>
    </cfRule>
    <cfRule type="cellIs" dxfId="578" priority="12" operator="equal">
      <formula>"НЕТ"</formula>
    </cfRule>
  </conditionalFormatting>
  <conditionalFormatting sqref="I19">
    <cfRule type="cellIs" dxfId="577" priority="9" operator="equal">
      <formula>"ДА"</formula>
    </cfRule>
    <cfRule type="cellIs" dxfId="576" priority="10" operator="equal">
      <formula>"НЕТ"</formula>
    </cfRule>
  </conditionalFormatting>
  <conditionalFormatting sqref="K3:K19 C29:E78">
    <cfRule type="cellIs" dxfId="575" priority="8" operator="greaterThan">
      <formula>0</formula>
    </cfRule>
  </conditionalFormatting>
  <conditionalFormatting sqref="J3:J19">
    <cfRule type="cellIs" dxfId="574" priority="4" operator="greaterThan">
      <formula>0</formula>
    </cfRule>
    <cfRule type="cellIs" dxfId="573" priority="7" operator="greaterThan">
      <formula>0</formula>
    </cfRule>
  </conditionalFormatting>
  <conditionalFormatting sqref="C81:E81">
    <cfRule type="cellIs" dxfId="572" priority="6" operator="greaterThan">
      <formula>0</formula>
    </cfRule>
  </conditionalFormatting>
  <conditionalFormatting sqref="E82">
    <cfRule type="cellIs" dxfId="571" priority="5" operator="greaterThan">
      <formula>0</formula>
    </cfRule>
  </conditionalFormatting>
  <conditionalFormatting sqref="C2:C24">
    <cfRule type="cellIs" dxfId="570" priority="3" operator="greaterThan">
      <formula>0</formula>
    </cfRule>
  </conditionalFormatting>
  <conditionalFormatting sqref="C25:C26">
    <cfRule type="cellIs" dxfId="569" priority="2" operator="greaterThan">
      <formula>0</formula>
    </cfRule>
  </conditionalFormatting>
  <conditionalFormatting sqref="C79:E80">
    <cfRule type="cellIs" dxfId="568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M55"/>
  <sheetViews>
    <sheetView workbookViewId="0">
      <pane ySplit="18" topLeftCell="A19" activePane="bottomLeft" state="frozen"/>
      <selection pane="bottomLeft" activeCell="D19" sqref="D19"/>
    </sheetView>
  </sheetViews>
  <sheetFormatPr defaultRowHeight="11.25"/>
  <cols>
    <col min="2" max="2" width="60.1640625" customWidth="1"/>
    <col min="4" max="4" width="11.1640625" customWidth="1"/>
    <col min="5" max="5" width="13.33203125" customWidth="1"/>
    <col min="6" max="6" width="28.1640625" customWidth="1"/>
    <col min="7" max="7" width="3.1640625" customWidth="1"/>
    <col min="8" max="8" width="47.33203125" customWidth="1"/>
    <col min="9" max="9" width="4.5" customWidth="1"/>
  </cols>
  <sheetData>
    <row r="1" spans="1:13" ht="54.75" customHeight="1" thickBot="1">
      <c r="A1" s="442"/>
      <c r="B1" s="1276"/>
      <c r="C1" s="1277"/>
      <c r="D1" s="1277"/>
      <c r="E1" s="1277"/>
      <c r="F1" s="442"/>
      <c r="G1" s="408"/>
      <c r="H1" s="408"/>
      <c r="I1" s="408"/>
      <c r="J1" s="408"/>
      <c r="K1" s="408"/>
      <c r="L1" s="408"/>
    </row>
    <row r="2" spans="1:13" ht="11.25" customHeight="1" thickBot="1">
      <c r="A2" s="442"/>
      <c r="B2" s="410" t="s">
        <v>10</v>
      </c>
      <c r="C2" s="461">
        <v>0</v>
      </c>
      <c r="D2" s="1238" t="s">
        <v>595</v>
      </c>
      <c r="E2" s="1239"/>
      <c r="F2" s="1240"/>
      <c r="G2" s="408"/>
      <c r="H2" s="412" t="s">
        <v>485</v>
      </c>
      <c r="I2" s="625" t="s">
        <v>604</v>
      </c>
      <c r="J2" s="413" t="s">
        <v>4</v>
      </c>
      <c r="K2" s="414" t="s">
        <v>8</v>
      </c>
      <c r="L2" s="408"/>
    </row>
    <row r="3" spans="1:13" ht="13.5" thickBot="1">
      <c r="A3" s="442"/>
      <c r="B3" s="415" t="s">
        <v>1</v>
      </c>
      <c r="C3" s="462">
        <v>0</v>
      </c>
      <c r="D3" s="1241"/>
      <c r="E3" s="1242"/>
      <c r="F3" s="1243"/>
      <c r="G3" s="408"/>
      <c r="H3" s="416" t="s">
        <v>489</v>
      </c>
      <c r="I3" s="626" t="str">
        <f>IF(AND($C$6+$C$7=1,$C$8+$C$9=0,$C$10=1),"ДА","НЕТ")</f>
        <v>НЕТ</v>
      </c>
      <c r="J3" s="321"/>
      <c r="K3" s="322">
        <f>IF(I3="ДА",($C$4+$C$5)*J3,0)</f>
        <v>0</v>
      </c>
      <c r="L3" s="408"/>
    </row>
    <row r="4" spans="1:13" ht="12.75" customHeight="1">
      <c r="A4" s="442"/>
      <c r="B4" s="422" t="s">
        <v>413</v>
      </c>
      <c r="C4" s="552">
        <v>0</v>
      </c>
      <c r="D4" s="1238" t="s">
        <v>597</v>
      </c>
      <c r="E4" s="1239"/>
      <c r="F4" s="1240"/>
      <c r="G4" s="489"/>
      <c r="H4" s="421" t="s">
        <v>486</v>
      </c>
      <c r="I4" s="627" t="str">
        <f>IF(AND($C$6+$C$7=1,$C$8+$C$9=0,$C$10=3),"ДА","НЕТ")</f>
        <v>НЕТ</v>
      </c>
      <c r="J4" s="325"/>
      <c r="K4" s="322">
        <f t="shared" ref="K4:K15" si="0">IF(I4="ДА",($C$4+$C$5)*J4,0)</f>
        <v>0</v>
      </c>
      <c r="L4" s="489"/>
    </row>
    <row r="5" spans="1:13" ht="13.5" thickBot="1">
      <c r="A5" s="442"/>
      <c r="B5" s="443" t="s">
        <v>414</v>
      </c>
      <c r="C5" s="553">
        <v>0</v>
      </c>
      <c r="D5" s="1241"/>
      <c r="E5" s="1242"/>
      <c r="F5" s="1243"/>
      <c r="G5" s="526"/>
      <c r="H5" s="421" t="s">
        <v>591</v>
      </c>
      <c r="I5" s="627" t="str">
        <f>IF(AND($C$6+$C$7=1,$C$8+$C$9=0,$C$10=3),"ДА","НЕТ")</f>
        <v>НЕТ</v>
      </c>
      <c r="J5" s="325"/>
      <c r="K5" s="322">
        <f t="shared" si="0"/>
        <v>0</v>
      </c>
      <c r="L5" s="526"/>
      <c r="M5" s="251"/>
    </row>
    <row r="6" spans="1:13" ht="12.75" customHeight="1">
      <c r="A6" s="442"/>
      <c r="B6" s="410" t="s">
        <v>498</v>
      </c>
      <c r="C6" s="467">
        <v>0</v>
      </c>
      <c r="D6" s="423" t="s">
        <v>287</v>
      </c>
      <c r="E6" s="628" t="s">
        <v>255</v>
      </c>
      <c r="F6" s="1246" t="s">
        <v>597</v>
      </c>
      <c r="G6" s="526"/>
      <c r="H6" s="421" t="s">
        <v>487</v>
      </c>
      <c r="I6" s="627" t="str">
        <f>IF(AND($C$6+$C$7=1,$C$8+$C$9=0,$C$10=2),"ДА","НЕТ")</f>
        <v>НЕТ</v>
      </c>
      <c r="J6" s="325"/>
      <c r="K6" s="322">
        <f t="shared" si="0"/>
        <v>0</v>
      </c>
      <c r="L6" s="526"/>
      <c r="M6" s="251"/>
    </row>
    <row r="7" spans="1:13" ht="12.75">
      <c r="A7" s="442"/>
      <c r="B7" s="420" t="s">
        <v>499</v>
      </c>
      <c r="C7" s="464">
        <v>0</v>
      </c>
      <c r="D7" s="427" t="s">
        <v>287</v>
      </c>
      <c r="E7" s="427" t="s">
        <v>255</v>
      </c>
      <c r="F7" s="1247"/>
      <c r="G7" s="526"/>
      <c r="H7" s="421" t="s">
        <v>488</v>
      </c>
      <c r="I7" s="627" t="str">
        <f>IF(AND($C$6+$C$7=1,$C$8+$C$9=0,$C$10=2),"ДА","НЕТ")</f>
        <v>НЕТ</v>
      </c>
      <c r="J7" s="325"/>
      <c r="K7" s="322">
        <f t="shared" si="0"/>
        <v>0</v>
      </c>
      <c r="L7" s="526"/>
      <c r="M7" s="251"/>
    </row>
    <row r="8" spans="1:13" ht="12.75">
      <c r="A8" s="442"/>
      <c r="B8" s="420" t="s">
        <v>500</v>
      </c>
      <c r="C8" s="464">
        <v>0</v>
      </c>
      <c r="D8" s="427" t="s">
        <v>287</v>
      </c>
      <c r="E8" s="427" t="s">
        <v>255</v>
      </c>
      <c r="F8" s="1247"/>
      <c r="G8" s="526"/>
      <c r="H8" s="421" t="s">
        <v>494</v>
      </c>
      <c r="I8" s="627" t="str">
        <f>IF(AND($C$6+$C$7=1,$C$8+$C$9=0,$C$10=2),"ДА","НЕТ")</f>
        <v>НЕТ</v>
      </c>
      <c r="J8" s="325"/>
      <c r="K8" s="322">
        <f t="shared" si="0"/>
        <v>0</v>
      </c>
      <c r="L8" s="526"/>
      <c r="M8" s="251"/>
    </row>
    <row r="9" spans="1:13" ht="13.5" thickBot="1">
      <c r="A9" s="442"/>
      <c r="B9" s="493" t="s">
        <v>501</v>
      </c>
      <c r="C9" s="475">
        <v>0</v>
      </c>
      <c r="D9" s="629" t="s">
        <v>287</v>
      </c>
      <c r="E9" s="520" t="s">
        <v>255</v>
      </c>
      <c r="F9" s="1248"/>
      <c r="G9" s="526"/>
      <c r="H9" s="416" t="s">
        <v>590</v>
      </c>
      <c r="I9" s="627" t="str">
        <f>IF(AND($C$6+$C$7=1,$C$8+$C$9=0,$C$10=1),"ДА","НЕТ")</f>
        <v>НЕТ</v>
      </c>
      <c r="J9" s="321"/>
      <c r="K9" s="322">
        <f t="shared" si="0"/>
        <v>0</v>
      </c>
      <c r="L9" s="526"/>
      <c r="M9" s="251"/>
    </row>
    <row r="10" spans="1:13" ht="13.5" thickBot="1">
      <c r="A10" s="442"/>
      <c r="B10" s="432" t="s">
        <v>589</v>
      </c>
      <c r="C10" s="551"/>
      <c r="D10" s="436" t="s">
        <v>619</v>
      </c>
      <c r="E10" s="436" t="s">
        <v>620</v>
      </c>
      <c r="F10" s="630" t="s">
        <v>621</v>
      </c>
      <c r="G10" s="526"/>
      <c r="H10" s="416" t="s">
        <v>383</v>
      </c>
      <c r="I10" s="627" t="str">
        <f>IF(AND($C$6+$C$7=0,$C$8+$C$9=1,$C$10=1),"ДА","НЕТ")</f>
        <v>НЕТ</v>
      </c>
      <c r="J10" s="328"/>
      <c r="K10" s="322">
        <f t="shared" si="0"/>
        <v>0</v>
      </c>
      <c r="L10" s="526"/>
      <c r="M10" s="251"/>
    </row>
    <row r="11" spans="1:13" ht="12.75">
      <c r="A11" s="442"/>
      <c r="B11" s="422" t="s">
        <v>393</v>
      </c>
      <c r="C11" s="465">
        <v>0</v>
      </c>
      <c r="D11" s="631" t="s">
        <v>394</v>
      </c>
      <c r="E11" s="425" t="s">
        <v>395</v>
      </c>
      <c r="F11" s="1278"/>
      <c r="G11" s="408"/>
      <c r="H11" s="419" t="s">
        <v>384</v>
      </c>
      <c r="I11" s="627" t="str">
        <f>IF(AND($C$6+$C$7=0,$C$8+$C$9=1,$C$10=1),"ДА","НЕТ")</f>
        <v>НЕТ</v>
      </c>
      <c r="J11" s="328"/>
      <c r="K11" s="322">
        <f t="shared" si="0"/>
        <v>0</v>
      </c>
      <c r="L11" s="408"/>
    </row>
    <row r="12" spans="1:13" ht="13.5" thickBot="1">
      <c r="A12" s="442"/>
      <c r="B12" s="493" t="s">
        <v>358</v>
      </c>
      <c r="C12" s="475">
        <v>0</v>
      </c>
      <c r="D12" s="494" t="s">
        <v>417</v>
      </c>
      <c r="E12" s="494" t="s">
        <v>418</v>
      </c>
      <c r="F12" s="1279"/>
      <c r="G12" s="408"/>
      <c r="H12" s="419" t="s">
        <v>385</v>
      </c>
      <c r="I12" s="627" t="str">
        <f>IF(AND($C$6+$C$7=0,$C$8+$C$9=1,$C$10=1),"ДА","НЕТ")</f>
        <v>НЕТ</v>
      </c>
      <c r="J12" s="331"/>
      <c r="K12" s="322">
        <f t="shared" si="0"/>
        <v>0</v>
      </c>
      <c r="L12" s="408"/>
    </row>
    <row r="13" spans="1:13" ht="12.75" customHeight="1">
      <c r="A13" s="442"/>
      <c r="B13" s="410" t="s">
        <v>397</v>
      </c>
      <c r="C13" s="467">
        <v>0</v>
      </c>
      <c r="D13" s="423" t="s">
        <v>287</v>
      </c>
      <c r="E13" s="423" t="s">
        <v>255</v>
      </c>
      <c r="F13" s="1259" t="s">
        <v>597</v>
      </c>
      <c r="G13" s="408"/>
      <c r="H13" s="416" t="s">
        <v>388</v>
      </c>
      <c r="I13" s="627" t="str">
        <f>IF(AND($C$6+$C$7=0,$C$8+$C$9=1,$C$10=2),"ДА","НЕТ")</f>
        <v>НЕТ</v>
      </c>
      <c r="J13" s="328"/>
      <c r="K13" s="322">
        <f t="shared" si="0"/>
        <v>0</v>
      </c>
      <c r="L13" s="408"/>
    </row>
    <row r="14" spans="1:13" ht="13.5" thickBot="1">
      <c r="A14" s="442"/>
      <c r="B14" s="415" t="s">
        <v>398</v>
      </c>
      <c r="C14" s="466">
        <v>0</v>
      </c>
      <c r="D14" s="490" t="s">
        <v>287</v>
      </c>
      <c r="E14" s="490" t="s">
        <v>255</v>
      </c>
      <c r="F14" s="1260"/>
      <c r="G14" s="633"/>
      <c r="H14" s="419" t="s">
        <v>389</v>
      </c>
      <c r="I14" s="627" t="str">
        <f>IF(AND($C$6+$C$7=0,$C$8+$C$9=1,$C$10=2),"ДА","НЕТ")</f>
        <v>НЕТ</v>
      </c>
      <c r="J14" s="328"/>
      <c r="K14" s="322">
        <f t="shared" si="0"/>
        <v>0</v>
      </c>
      <c r="L14" s="633"/>
    </row>
    <row r="15" spans="1:13" ht="12.75">
      <c r="A15" s="442"/>
      <c r="B15" s="732" t="s">
        <v>147</v>
      </c>
      <c r="C15" s="467">
        <v>0</v>
      </c>
      <c r="D15" s="1250" t="s">
        <v>686</v>
      </c>
      <c r="E15" s="1250"/>
      <c r="F15" s="1251"/>
      <c r="G15" s="408"/>
      <c r="H15" s="419" t="s">
        <v>390</v>
      </c>
      <c r="I15" s="627" t="str">
        <f>IF(AND($C$6+$C$7=0,$C$8+$C$9=1,$C$10=2),"ДА","НЕТ")</f>
        <v>НЕТ</v>
      </c>
      <c r="J15" s="328"/>
      <c r="K15" s="322">
        <f t="shared" si="0"/>
        <v>0</v>
      </c>
      <c r="L15" s="408"/>
    </row>
    <row r="16" spans="1:13" ht="13.5" thickBot="1">
      <c r="A16" s="442"/>
      <c r="B16" s="733" t="s">
        <v>146</v>
      </c>
      <c r="C16" s="466">
        <v>0</v>
      </c>
      <c r="D16" s="1256" t="s">
        <v>687</v>
      </c>
      <c r="E16" s="1256"/>
      <c r="F16" s="1257"/>
      <c r="G16" s="408"/>
      <c r="H16" s="567"/>
      <c r="I16" s="731"/>
      <c r="J16" s="339"/>
      <c r="K16" s="340"/>
      <c r="L16" s="408"/>
    </row>
    <row r="17" spans="1:12" ht="13.5" thickBot="1">
      <c r="A17" s="442"/>
      <c r="B17" s="726"/>
      <c r="C17" s="726"/>
      <c r="D17" s="726"/>
      <c r="E17" s="726"/>
      <c r="F17" s="442"/>
      <c r="G17" s="408"/>
      <c r="H17" s="567"/>
      <c r="I17" s="731"/>
      <c r="J17" s="339"/>
      <c r="K17" s="340"/>
      <c r="L17" s="408"/>
    </row>
    <row r="18" spans="1:12" ht="12.75">
      <c r="A18" s="442"/>
      <c r="B18" s="447" t="s">
        <v>5</v>
      </c>
      <c r="C18" s="448" t="s">
        <v>0</v>
      </c>
      <c r="D18" s="634" t="s">
        <v>4</v>
      </c>
      <c r="E18" s="450" t="s">
        <v>8</v>
      </c>
      <c r="F18" s="442"/>
      <c r="G18" s="408"/>
      <c r="H18" s="408"/>
      <c r="I18" s="408"/>
      <c r="J18" s="408"/>
      <c r="K18" s="408"/>
      <c r="L18" s="408"/>
    </row>
    <row r="19" spans="1:12">
      <c r="A19" s="442"/>
      <c r="B19" s="454" t="s">
        <v>641</v>
      </c>
      <c r="C19" s="350">
        <f>EVEN(ROUNDDOWN(IF(C4+C5&gt;0.9,(C4+C5)*C2/0.5,0),0))</f>
        <v>0</v>
      </c>
      <c r="D19" s="351">
        <v>1</v>
      </c>
      <c r="E19" s="347">
        <f>C19*D19</f>
        <v>0</v>
      </c>
      <c r="F19" s="444"/>
      <c r="G19" s="492"/>
      <c r="H19" s="408"/>
      <c r="I19" s="408"/>
      <c r="J19" s="408"/>
      <c r="K19" s="408"/>
      <c r="L19" s="408"/>
    </row>
    <row r="20" spans="1:12">
      <c r="A20" s="442"/>
      <c r="B20" s="454" t="s">
        <v>420</v>
      </c>
      <c r="C20" s="350">
        <f>IF(AND(C6+C7&gt;0,C8+C9=0,C12=0),(C4+C5)*2,0)</f>
        <v>0</v>
      </c>
      <c r="D20" s="351"/>
      <c r="E20" s="347">
        <f t="shared" ref="E20:E25" si="1">C20*D20</f>
        <v>0</v>
      </c>
      <c r="F20" s="453"/>
      <c r="G20" s="635"/>
      <c r="H20" s="408"/>
      <c r="I20" s="408"/>
      <c r="J20" s="408"/>
      <c r="K20" s="408"/>
      <c r="L20" s="408"/>
    </row>
    <row r="21" spans="1:12">
      <c r="A21" s="442"/>
      <c r="B21" s="454" t="s">
        <v>421</v>
      </c>
      <c r="C21" s="353">
        <f>IF(AND(C6+C7&gt;0,C8+C9=0,C12=1),(C4+C5)*2,0)</f>
        <v>0</v>
      </c>
      <c r="D21" s="354"/>
      <c r="E21" s="347">
        <f t="shared" si="1"/>
        <v>0</v>
      </c>
      <c r="F21" s="636"/>
      <c r="G21" s="635"/>
      <c r="H21" s="408"/>
      <c r="I21" s="408"/>
      <c r="J21" s="408"/>
      <c r="K21" s="408"/>
      <c r="L21" s="408"/>
    </row>
    <row r="22" spans="1:12">
      <c r="A22" s="442"/>
      <c r="B22" s="454" t="s">
        <v>420</v>
      </c>
      <c r="C22" s="350">
        <f>IF(AND(C6+C7=0,C8+C9&gt;0,C12=0),(C4+C5),0)</f>
        <v>0</v>
      </c>
      <c r="D22" s="351"/>
      <c r="E22" s="347">
        <f t="shared" si="1"/>
        <v>0</v>
      </c>
      <c r="F22" s="442"/>
      <c r="G22" s="408"/>
      <c r="H22" s="408"/>
      <c r="I22" s="408"/>
      <c r="J22" s="408"/>
      <c r="K22" s="408"/>
      <c r="L22" s="408"/>
    </row>
    <row r="23" spans="1:12">
      <c r="A23" s="442"/>
      <c r="B23" s="454" t="s">
        <v>421</v>
      </c>
      <c r="C23" s="353">
        <f>IF(AND(C6+C7=0,C8+C9&gt;0,C12=1),(C4+C5),0)</f>
        <v>0</v>
      </c>
      <c r="D23" s="354"/>
      <c r="E23" s="347">
        <f t="shared" si="1"/>
        <v>0</v>
      </c>
      <c r="F23" s="442"/>
      <c r="G23" s="408"/>
      <c r="H23" s="408"/>
      <c r="I23" s="408"/>
      <c r="J23" s="408"/>
      <c r="K23" s="408"/>
      <c r="L23" s="408"/>
    </row>
    <row r="24" spans="1:12">
      <c r="A24" s="442"/>
      <c r="B24" s="454" t="s">
        <v>511</v>
      </c>
      <c r="C24" s="350">
        <f>IF(AND(C6+C7=0,C8+C9&gt;0,C12=0),(C4+C5),0)</f>
        <v>0</v>
      </c>
      <c r="D24" s="351"/>
      <c r="E24" s="347">
        <f t="shared" si="1"/>
        <v>0</v>
      </c>
      <c r="F24" s="442"/>
      <c r="G24" s="408"/>
      <c r="H24" s="408"/>
      <c r="I24" s="408"/>
      <c r="J24" s="408"/>
      <c r="K24" s="408"/>
      <c r="L24" s="408"/>
    </row>
    <row r="25" spans="1:12">
      <c r="A25" s="442"/>
      <c r="B25" s="454" t="s">
        <v>512</v>
      </c>
      <c r="C25" s="353">
        <f>IF(AND(C6+C7=0,C8+C9&gt;0,C12=1),(C4+C5),0)</f>
        <v>0</v>
      </c>
      <c r="D25" s="354"/>
      <c r="E25" s="347">
        <f t="shared" si="1"/>
        <v>0</v>
      </c>
      <c r="F25" s="446"/>
      <c r="G25" s="408"/>
      <c r="H25" s="408"/>
      <c r="I25" s="408"/>
      <c r="J25" s="408"/>
      <c r="K25" s="408"/>
      <c r="L25" s="408"/>
    </row>
    <row r="26" spans="1:12">
      <c r="A26" s="442"/>
      <c r="B26" s="454" t="s">
        <v>643</v>
      </c>
      <c r="C26" s="353">
        <f>(C4+C5)*2</f>
        <v>0</v>
      </c>
      <c r="D26" s="354"/>
      <c r="E26" s="347">
        <f t="shared" ref="E26:E46" si="2">C26*D26</f>
        <v>0</v>
      </c>
      <c r="F26" s="442"/>
      <c r="G26" s="408"/>
      <c r="H26" s="408"/>
      <c r="I26" s="408"/>
      <c r="J26" s="408"/>
      <c r="K26" s="408"/>
      <c r="L26" s="408"/>
    </row>
    <row r="27" spans="1:12">
      <c r="A27" s="442"/>
      <c r="B27" s="454" t="s">
        <v>432</v>
      </c>
      <c r="C27" s="345">
        <f>C4</f>
        <v>0</v>
      </c>
      <c r="D27" s="346"/>
      <c r="E27" s="347">
        <f t="shared" si="2"/>
        <v>0</v>
      </c>
      <c r="F27" s="442"/>
      <c r="G27" s="408"/>
      <c r="H27" s="408"/>
      <c r="I27" s="408"/>
      <c r="J27" s="408"/>
      <c r="K27" s="408"/>
      <c r="L27" s="408"/>
    </row>
    <row r="28" spans="1:12">
      <c r="A28" s="442"/>
      <c r="B28" s="454" t="s">
        <v>433</v>
      </c>
      <c r="C28" s="350">
        <f>C4*2</f>
        <v>0</v>
      </c>
      <c r="D28" s="351"/>
      <c r="E28" s="347">
        <f t="shared" si="2"/>
        <v>0</v>
      </c>
      <c r="F28" s="442"/>
      <c r="G28" s="408"/>
      <c r="H28" s="408"/>
      <c r="I28" s="408"/>
      <c r="J28" s="408"/>
      <c r="K28" s="408"/>
      <c r="L28" s="408"/>
    </row>
    <row r="29" spans="1:12">
      <c r="A29" s="442"/>
      <c r="B29" s="454" t="s">
        <v>434</v>
      </c>
      <c r="C29" s="350">
        <f>C5</f>
        <v>0</v>
      </c>
      <c r="D29" s="351"/>
      <c r="E29" s="347">
        <f t="shared" si="2"/>
        <v>0</v>
      </c>
      <c r="F29" s="442"/>
      <c r="G29" s="408"/>
      <c r="H29" s="408"/>
      <c r="I29" s="408"/>
      <c r="J29" s="408"/>
      <c r="K29" s="408"/>
      <c r="L29" s="408"/>
    </row>
    <row r="30" spans="1:12">
      <c r="A30" s="442"/>
      <c r="B30" s="454" t="s">
        <v>651</v>
      </c>
      <c r="C30" s="350">
        <f>(C4+C5)*2</f>
        <v>0</v>
      </c>
      <c r="D30" s="351"/>
      <c r="E30" s="347">
        <f t="shared" si="2"/>
        <v>0</v>
      </c>
      <c r="F30" s="442"/>
      <c r="G30" s="408"/>
      <c r="H30" s="408"/>
      <c r="I30" s="408"/>
      <c r="J30" s="408"/>
      <c r="K30" s="408"/>
      <c r="L30" s="408"/>
    </row>
    <row r="31" spans="1:12">
      <c r="A31" s="442"/>
      <c r="B31" s="452" t="s">
        <v>474</v>
      </c>
      <c r="C31" s="350">
        <f>(C4+C5)*C2*2</f>
        <v>0</v>
      </c>
      <c r="D31" s="351"/>
      <c r="E31" s="347">
        <f t="shared" si="2"/>
        <v>0</v>
      </c>
      <c r="F31" s="442"/>
      <c r="G31" s="408"/>
      <c r="H31" s="408"/>
      <c r="I31" s="408"/>
      <c r="J31" s="408"/>
      <c r="K31" s="408"/>
      <c r="L31" s="408"/>
    </row>
    <row r="32" spans="1:12">
      <c r="A32" s="442"/>
      <c r="B32" s="454" t="s">
        <v>401</v>
      </c>
      <c r="C32" s="350">
        <f>(C4+C5)*C2</f>
        <v>0</v>
      </c>
      <c r="D32" s="356"/>
      <c r="E32" s="347">
        <f t="shared" si="2"/>
        <v>0</v>
      </c>
      <c r="F32" s="442"/>
      <c r="G32" s="408"/>
      <c r="H32" s="408"/>
      <c r="I32" s="408"/>
      <c r="J32" s="408"/>
      <c r="K32" s="408"/>
      <c r="L32" s="408"/>
    </row>
    <row r="33" spans="1:12">
      <c r="A33" s="442"/>
      <c r="B33" s="454" t="s">
        <v>402</v>
      </c>
      <c r="C33" s="350">
        <f>C14*(C4+C5)*C2</f>
        <v>0</v>
      </c>
      <c r="D33" s="356"/>
      <c r="E33" s="347">
        <f t="shared" si="2"/>
        <v>0</v>
      </c>
      <c r="F33" s="442"/>
      <c r="G33" s="408"/>
      <c r="H33" s="408"/>
      <c r="I33" s="408"/>
      <c r="J33" s="408"/>
      <c r="K33" s="408"/>
      <c r="L33" s="408"/>
    </row>
    <row r="34" spans="1:12">
      <c r="A34" s="442"/>
      <c r="B34" s="452" t="s">
        <v>399</v>
      </c>
      <c r="C34" s="345">
        <f>IF(C14=0,C13*2*(C4+C5),0)</f>
        <v>0</v>
      </c>
      <c r="D34" s="356"/>
      <c r="E34" s="347">
        <f t="shared" si="2"/>
        <v>0</v>
      </c>
      <c r="F34" s="442"/>
      <c r="G34" s="408"/>
      <c r="H34" s="408"/>
      <c r="I34" s="408"/>
      <c r="J34" s="408"/>
      <c r="K34" s="408"/>
      <c r="L34" s="408"/>
    </row>
    <row r="35" spans="1:12">
      <c r="A35" s="442"/>
      <c r="B35" s="452" t="s">
        <v>400</v>
      </c>
      <c r="C35" s="345">
        <f>IF(C13=0,C14*(C4+C5),0)</f>
        <v>0</v>
      </c>
      <c r="D35" s="356"/>
      <c r="E35" s="347">
        <f t="shared" si="2"/>
        <v>0</v>
      </c>
      <c r="F35" s="442"/>
      <c r="G35" s="408"/>
      <c r="H35" s="408"/>
      <c r="I35" s="408"/>
      <c r="J35" s="408"/>
      <c r="K35" s="408"/>
      <c r="L35" s="408"/>
    </row>
    <row r="36" spans="1:12">
      <c r="A36" s="442"/>
      <c r="B36" s="452" t="s">
        <v>461</v>
      </c>
      <c r="C36" s="357">
        <f>C4*C2</f>
        <v>0</v>
      </c>
      <c r="D36" s="351"/>
      <c r="E36" s="347">
        <f t="shared" si="2"/>
        <v>0</v>
      </c>
      <c r="F36" s="442"/>
      <c r="G36" s="408"/>
      <c r="H36" s="408"/>
      <c r="I36" s="408"/>
      <c r="J36" s="408"/>
      <c r="K36" s="408"/>
      <c r="L36" s="408"/>
    </row>
    <row r="37" spans="1:12">
      <c r="A37" s="442"/>
      <c r="B37" s="452" t="s">
        <v>462</v>
      </c>
      <c r="C37" s="357">
        <f>C5*C2</f>
        <v>0</v>
      </c>
      <c r="D37" s="351"/>
      <c r="E37" s="347">
        <f t="shared" si="2"/>
        <v>0</v>
      </c>
      <c r="F37" s="456"/>
      <c r="G37" s="408"/>
      <c r="H37" s="408"/>
      <c r="I37" s="408"/>
      <c r="J37" s="408"/>
      <c r="K37" s="408"/>
      <c r="L37" s="408"/>
    </row>
    <row r="38" spans="1:12" ht="11.25" customHeight="1">
      <c r="A38" s="442"/>
      <c r="B38" s="452" t="s">
        <v>422</v>
      </c>
      <c r="C38" s="357">
        <f>(C4+C5)*C2</f>
        <v>0</v>
      </c>
      <c r="D38" s="351"/>
      <c r="E38" s="347">
        <f t="shared" si="2"/>
        <v>0</v>
      </c>
      <c r="F38" s="442"/>
      <c r="G38" s="408"/>
      <c r="H38" s="408"/>
      <c r="I38" s="408"/>
      <c r="J38" s="408"/>
      <c r="K38" s="408"/>
      <c r="L38" s="408"/>
    </row>
    <row r="39" spans="1:12">
      <c r="A39" s="442"/>
      <c r="B39" s="454" t="s">
        <v>647</v>
      </c>
      <c r="C39" s="357">
        <f>C4+C5</f>
        <v>0</v>
      </c>
      <c r="D39" s="351"/>
      <c r="E39" s="347">
        <f t="shared" si="2"/>
        <v>0</v>
      </c>
      <c r="F39" s="442"/>
      <c r="G39" s="408"/>
      <c r="H39" s="408"/>
      <c r="I39" s="408"/>
      <c r="J39" s="408"/>
      <c r="K39" s="408"/>
      <c r="L39" s="408"/>
    </row>
    <row r="40" spans="1:12">
      <c r="A40" s="442"/>
      <c r="B40" s="454" t="s">
        <v>424</v>
      </c>
      <c r="C40" s="357">
        <f>(C4+C5)*4</f>
        <v>0</v>
      </c>
      <c r="D40" s="351"/>
      <c r="E40" s="347">
        <f t="shared" si="2"/>
        <v>0</v>
      </c>
      <c r="F40" s="442"/>
      <c r="G40" s="408"/>
      <c r="H40" s="408"/>
      <c r="I40" s="408"/>
      <c r="J40" s="408"/>
      <c r="K40" s="408"/>
      <c r="L40" s="408"/>
    </row>
    <row r="41" spans="1:12">
      <c r="A41" s="442"/>
      <c r="B41" s="455" t="s">
        <v>378</v>
      </c>
      <c r="C41" s="357">
        <f>C6*C4</f>
        <v>0</v>
      </c>
      <c r="D41" s="356"/>
      <c r="E41" s="347">
        <f t="shared" si="2"/>
        <v>0</v>
      </c>
      <c r="F41" s="442"/>
      <c r="G41" s="408"/>
      <c r="H41" s="408"/>
      <c r="I41" s="408"/>
      <c r="J41" s="408"/>
      <c r="K41" s="408"/>
      <c r="L41" s="408"/>
    </row>
    <row r="42" spans="1:12">
      <c r="A42" s="442"/>
      <c r="B42" s="455" t="s">
        <v>598</v>
      </c>
      <c r="C42" s="357">
        <f>C8*C6</f>
        <v>0</v>
      </c>
      <c r="D42" s="356"/>
      <c r="E42" s="347">
        <f t="shared" si="2"/>
        <v>0</v>
      </c>
      <c r="F42" s="442"/>
      <c r="G42" s="408"/>
      <c r="H42" s="408"/>
      <c r="I42" s="408"/>
      <c r="J42" s="408"/>
      <c r="K42" s="408"/>
      <c r="L42" s="408"/>
    </row>
    <row r="43" spans="1:12" ht="11.25" customHeight="1">
      <c r="A43" s="442"/>
      <c r="B43" s="455" t="s">
        <v>436</v>
      </c>
      <c r="C43" s="357">
        <f>C7*C5</f>
        <v>0</v>
      </c>
      <c r="D43" s="351"/>
      <c r="E43" s="347">
        <f t="shared" si="2"/>
        <v>0</v>
      </c>
      <c r="F43" s="442"/>
      <c r="G43" s="408"/>
      <c r="H43" s="408"/>
      <c r="I43" s="408"/>
      <c r="J43" s="408"/>
      <c r="K43" s="408"/>
      <c r="L43" s="408"/>
    </row>
    <row r="44" spans="1:12" ht="11.25" customHeight="1">
      <c r="A44" s="442"/>
      <c r="B44" s="528" t="s">
        <v>145</v>
      </c>
      <c r="C44" s="509">
        <f>C16</f>
        <v>0</v>
      </c>
      <c r="D44" s="525"/>
      <c r="E44" s="403">
        <f t="shared" si="2"/>
        <v>0</v>
      </c>
      <c r="F44" s="442"/>
      <c r="G44" s="408"/>
      <c r="H44" s="408"/>
      <c r="I44" s="408"/>
      <c r="J44" s="408"/>
      <c r="K44" s="408"/>
      <c r="L44" s="408"/>
    </row>
    <row r="45" spans="1:12" ht="11.25" customHeight="1">
      <c r="A45" s="442"/>
      <c r="B45" s="454" t="s">
        <v>148</v>
      </c>
      <c r="C45" s="350">
        <f>C15</f>
        <v>0</v>
      </c>
      <c r="D45" s="356"/>
      <c r="E45" s="347">
        <f t="shared" si="2"/>
        <v>0</v>
      </c>
      <c r="F45" s="442"/>
      <c r="G45" s="408"/>
      <c r="H45" s="408"/>
      <c r="I45" s="408"/>
      <c r="J45" s="408"/>
      <c r="K45" s="408"/>
      <c r="L45" s="408"/>
    </row>
    <row r="46" spans="1:12" ht="12" thickBot="1">
      <c r="A46" s="442"/>
      <c r="B46" s="457" t="s">
        <v>599</v>
      </c>
      <c r="C46" s="405">
        <f>C9*C5</f>
        <v>0</v>
      </c>
      <c r="D46" s="406"/>
      <c r="E46" s="407">
        <f t="shared" si="2"/>
        <v>0</v>
      </c>
      <c r="F46" s="442"/>
      <c r="G46" s="408"/>
      <c r="H46" s="408"/>
      <c r="I46" s="408"/>
      <c r="J46" s="408"/>
      <c r="K46" s="408"/>
      <c r="L46" s="408"/>
    </row>
    <row r="47" spans="1:12" ht="13.5" thickBot="1">
      <c r="A47" s="442"/>
      <c r="B47" s="442"/>
      <c r="C47" s="442"/>
      <c r="D47" s="458" t="s">
        <v>9</v>
      </c>
      <c r="E47" s="530">
        <f>SUMIF(E20:E46,"&gt;0",E20:E46)</f>
        <v>0</v>
      </c>
      <c r="F47" s="442"/>
      <c r="G47" s="408"/>
      <c r="H47" s="408"/>
      <c r="I47" s="408"/>
      <c r="J47" s="408"/>
      <c r="K47" s="408"/>
      <c r="L47" s="408"/>
    </row>
    <row r="48" spans="1:12">
      <c r="A48" s="442"/>
      <c r="B48" s="442"/>
      <c r="C48" s="442"/>
      <c r="D48" s="442"/>
      <c r="E48" s="442"/>
      <c r="F48" s="442"/>
      <c r="G48" s="408"/>
      <c r="H48" s="408"/>
      <c r="I48" s="408"/>
      <c r="J48" s="408"/>
      <c r="K48" s="408"/>
      <c r="L48" s="408"/>
    </row>
    <row r="49" spans="1:6">
      <c r="A49" s="319"/>
      <c r="B49" s="319"/>
      <c r="C49" s="319"/>
      <c r="D49" s="319"/>
      <c r="E49" s="319"/>
      <c r="F49" s="319"/>
    </row>
    <row r="50" spans="1:6" ht="11.25" customHeight="1">
      <c r="A50" s="319"/>
      <c r="B50" s="319"/>
      <c r="C50" s="319"/>
      <c r="D50" s="319"/>
      <c r="E50" s="319"/>
      <c r="F50" s="319"/>
    </row>
    <row r="51" spans="1:6">
      <c r="A51" s="319"/>
      <c r="B51" s="319"/>
      <c r="C51" s="319"/>
      <c r="D51" s="319"/>
      <c r="E51" s="319"/>
      <c r="F51" s="319"/>
    </row>
    <row r="52" spans="1:6">
      <c r="A52" s="319"/>
      <c r="B52" s="319"/>
      <c r="C52" s="319"/>
      <c r="D52" s="319"/>
      <c r="E52" s="319"/>
      <c r="F52" s="319"/>
    </row>
    <row r="53" spans="1:6">
      <c r="A53" s="319"/>
      <c r="B53" s="319"/>
      <c r="C53" s="319"/>
      <c r="D53" s="319"/>
      <c r="E53" s="319"/>
      <c r="F53" s="319"/>
    </row>
    <row r="55" spans="1:6" ht="11.25" customHeight="1"/>
  </sheetData>
  <sheetProtection algorithmName="SHA-512" hashValue="/gVvb9oXjQ1yxo/TLHg9f407Ktbh7xxszUOZOvP/yZiyvn+1vLiQdazOUkmifFPkVT+Gd2XI0tJnSEpaVMBWAw==" saltValue="OpcvRjJWHv8FgiQh5imJoQ==" spinCount="100000" sheet="1"/>
  <mergeCells count="8">
    <mergeCell ref="D16:F16"/>
    <mergeCell ref="B1:E1"/>
    <mergeCell ref="D2:F3"/>
    <mergeCell ref="F6:F9"/>
    <mergeCell ref="D4:F5"/>
    <mergeCell ref="F13:F14"/>
    <mergeCell ref="F11:F12"/>
    <mergeCell ref="D15:F15"/>
  </mergeCells>
  <conditionalFormatting sqref="J3:J17">
    <cfRule type="cellIs" dxfId="567" priority="3" operator="greaterThan">
      <formula>0</formula>
    </cfRule>
    <cfRule type="cellIs" dxfId="566" priority="8" operator="greaterThan">
      <formula>0</formula>
    </cfRule>
  </conditionalFormatting>
  <conditionalFormatting sqref="H10:H12">
    <cfRule type="iconSet" priority="32">
      <iconSet iconSet="3Symbols">
        <cfvo type="percent" val="0"/>
        <cfvo type="percent" val="33"/>
        <cfvo type="percent" val="67"/>
      </iconSet>
    </cfRule>
    <cfRule type="expression" priority="33">
      <formula>"H71=1"</formula>
    </cfRule>
  </conditionalFormatting>
  <conditionalFormatting sqref="H10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I3:I4 I6:I8 I10:I17">
    <cfRule type="cellIs" dxfId="565" priority="28" operator="equal">
      <formula>"ДА"</formula>
    </cfRule>
    <cfRule type="cellIs" dxfId="564" priority="29" operator="equal">
      <formula>"НЕТ"</formula>
    </cfRule>
  </conditionalFormatting>
  <conditionalFormatting sqref="I3:I4 I6:I8">
    <cfRule type="colorScale" priority="3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563" priority="25" operator="equal">
      <formula>"ДА"</formula>
    </cfRule>
    <cfRule type="cellIs" dxfId="562" priority="26" operator="equal">
      <formula>"НЕТ"</formula>
    </cfRule>
  </conditionalFormatting>
  <conditionalFormatting sqref="I5">
    <cfRule type="cellIs" dxfId="561" priority="22" operator="equal">
      <formula>"ДА"</formula>
    </cfRule>
    <cfRule type="cellIs" dxfId="560" priority="23" operator="equal">
      <formula>"НЕТ"</formula>
    </cfRule>
  </conditionalFormatting>
  <conditionalFormatting sqref="I9">
    <cfRule type="colorScale" priority="2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559" priority="18" operator="equal">
      <formula>"ДА"</formula>
    </cfRule>
    <cfRule type="cellIs" dxfId="558" priority="19" operator="equal">
      <formula>"НЕТ"</formula>
    </cfRule>
  </conditionalFormatting>
  <conditionalFormatting sqref="I5">
    <cfRule type="colorScale" priority="2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0">
      <iconSet iconSet="3Symbols">
        <cfvo type="percent" val="0"/>
        <cfvo type="percent" val="33"/>
        <cfvo type="percent" val="67"/>
      </iconSet>
    </cfRule>
    <cfRule type="expression" priority="21">
      <formula>"H71=1"</formula>
    </cfRule>
  </conditionalFormatting>
  <conditionalFormatting sqref="I14">
    <cfRule type="cellIs" dxfId="557" priority="14" operator="equal">
      <formula>"ДА"</formula>
    </cfRule>
    <cfRule type="cellIs" dxfId="556" priority="15" operator="equal">
      <formula>"НЕТ"</formula>
    </cfRule>
  </conditionalFormatting>
  <conditionalFormatting sqref="H14">
    <cfRule type="iconSet" priority="16">
      <iconSet iconSet="3Symbols">
        <cfvo type="percent" val="0"/>
        <cfvo type="percent" val="33"/>
        <cfvo type="percent" val="67"/>
      </iconSet>
    </cfRule>
    <cfRule type="expression" priority="17">
      <formula>"H71=1"</formula>
    </cfRule>
  </conditionalFormatting>
  <conditionalFormatting sqref="K3:K17">
    <cfRule type="cellIs" dxfId="555" priority="9" operator="greaterThan">
      <formula>0</formula>
    </cfRule>
  </conditionalFormatting>
  <conditionalFormatting sqref="C2:C14">
    <cfRule type="cellIs" dxfId="554" priority="7" operator="greaterThan">
      <formula>0</formula>
    </cfRule>
  </conditionalFormatting>
  <conditionalFormatting sqref="C24:E43 C46:E46">
    <cfRule type="cellIs" dxfId="553" priority="6" operator="greaterThan">
      <formula>0</formula>
    </cfRule>
  </conditionalFormatting>
  <conditionalFormatting sqref="E47">
    <cfRule type="cellIs" dxfId="552" priority="4" operator="greaterThan">
      <formula>0</formula>
    </cfRule>
    <cfRule type="cellIs" dxfId="551" priority="5" operator="greaterThan">
      <formula>0</formula>
    </cfRule>
  </conditionalFormatting>
  <conditionalFormatting sqref="C15:C16">
    <cfRule type="cellIs" dxfId="550" priority="2" operator="greaterThan">
      <formula>0</formula>
    </cfRule>
  </conditionalFormatting>
  <conditionalFormatting sqref="C44:E45">
    <cfRule type="cellIs" dxfId="549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1:L90"/>
  <sheetViews>
    <sheetView showGridLines="0" showRowColHeaders="0" workbookViewId="0">
      <pane ySplit="25" topLeftCell="A65" activePane="bottomLeft" state="frozen"/>
      <selection pane="bottomLeft" activeCell="D26" sqref="D26"/>
    </sheetView>
  </sheetViews>
  <sheetFormatPr defaultRowHeight="11.25"/>
  <cols>
    <col min="2" max="2" width="52.33203125" customWidth="1"/>
    <col min="3" max="3" width="15.83203125" customWidth="1"/>
    <col min="4" max="4" width="11.33203125" customWidth="1"/>
    <col min="5" max="5" width="12" customWidth="1"/>
    <col min="6" max="6" width="28.1640625" customWidth="1"/>
    <col min="7" max="7" width="4.33203125" customWidth="1"/>
    <col min="8" max="8" width="45.5" customWidth="1"/>
    <col min="9" max="9" width="4.6640625" customWidth="1"/>
  </cols>
  <sheetData>
    <row r="1" spans="1:12" ht="49.5" customHeight="1" thickBot="1">
      <c r="A1" s="408"/>
      <c r="B1" s="1236"/>
      <c r="C1" s="1237"/>
      <c r="D1" s="1237"/>
      <c r="E1" s="1237"/>
      <c r="F1" s="408"/>
      <c r="G1" s="408"/>
      <c r="H1" s="408"/>
      <c r="I1" s="408"/>
      <c r="J1" s="408"/>
      <c r="K1" s="408"/>
      <c r="L1" s="408"/>
    </row>
    <row r="2" spans="1:12" ht="12" customHeight="1" thickBot="1">
      <c r="A2" s="408"/>
      <c r="B2" s="410" t="s">
        <v>10</v>
      </c>
      <c r="C2" s="461">
        <v>4</v>
      </c>
      <c r="D2" s="1238" t="s">
        <v>595</v>
      </c>
      <c r="E2" s="1239"/>
      <c r="F2" s="1240"/>
      <c r="G2" s="408"/>
      <c r="H2" s="412" t="s">
        <v>485</v>
      </c>
      <c r="I2" s="625" t="s">
        <v>604</v>
      </c>
      <c r="J2" s="413" t="s">
        <v>4</v>
      </c>
      <c r="K2" s="414" t="s">
        <v>8</v>
      </c>
      <c r="L2" s="408"/>
    </row>
    <row r="3" spans="1:12" ht="12" customHeight="1" thickBot="1">
      <c r="A3" s="408"/>
      <c r="B3" s="415" t="s">
        <v>1</v>
      </c>
      <c r="C3" s="462">
        <v>2</v>
      </c>
      <c r="D3" s="1241"/>
      <c r="E3" s="1242"/>
      <c r="F3" s="1243"/>
      <c r="G3" s="408"/>
      <c r="H3" s="416" t="s">
        <v>489</v>
      </c>
      <c r="I3" s="626" t="str">
        <f>IF(AND($C$9+$C$10+$C$11=1,$C$12+$C$13+$C$14=0,C15=1),"ДА","НЕТ")</f>
        <v>ДА</v>
      </c>
      <c r="J3" s="321"/>
      <c r="K3" s="322">
        <f>IF(I3="ДА",($C$4+$C$5+$C$6+$C$7+$C$8+$C$9)*J3,0)</f>
        <v>0</v>
      </c>
      <c r="L3" s="408"/>
    </row>
    <row r="4" spans="1:12" ht="12" customHeight="1">
      <c r="A4" s="408"/>
      <c r="B4" s="410" t="s">
        <v>438</v>
      </c>
      <c r="C4" s="467">
        <v>0</v>
      </c>
      <c r="D4" s="1238" t="s">
        <v>597</v>
      </c>
      <c r="E4" s="1239"/>
      <c r="F4" s="1240"/>
      <c r="G4" s="408"/>
      <c r="H4" s="421" t="s">
        <v>486</v>
      </c>
      <c r="I4" s="627" t="str">
        <f>IF(AND($C$9+$C$10+$C$11=1,$C$12+$C$13+$C$14=0,C15=3),"ДА","НЕТ")</f>
        <v>НЕТ</v>
      </c>
      <c r="J4" s="325"/>
      <c r="K4" s="326">
        <f t="shared" ref="K4:K19" si="0">IF(I4="ДА",($C$4+$C$5+$C$6+$C$7+$C$8+$C$9)*J4,0)</f>
        <v>0</v>
      </c>
      <c r="L4" s="408"/>
    </row>
    <row r="5" spans="1:12" ht="12" customHeight="1">
      <c r="A5" s="408"/>
      <c r="B5" s="420" t="s">
        <v>439</v>
      </c>
      <c r="C5" s="464">
        <v>0</v>
      </c>
      <c r="D5" s="1258"/>
      <c r="E5" s="1244"/>
      <c r="F5" s="1245"/>
      <c r="G5" s="408"/>
      <c r="H5" s="421" t="s">
        <v>591</v>
      </c>
      <c r="I5" s="627" t="str">
        <f>IF(AND($C$9+$C$10+$C$11=1,$C$12+$C$13+$C$14=0,C15=3),"ДА","НЕТ")</f>
        <v>НЕТ</v>
      </c>
      <c r="J5" s="325"/>
      <c r="K5" s="326">
        <f t="shared" si="0"/>
        <v>0</v>
      </c>
      <c r="L5" s="408"/>
    </row>
    <row r="6" spans="1:12" ht="12" customHeight="1" thickBot="1">
      <c r="A6" s="408"/>
      <c r="B6" s="443" t="s">
        <v>629</v>
      </c>
      <c r="C6" s="469">
        <v>1</v>
      </c>
      <c r="D6" s="1258"/>
      <c r="E6" s="1244"/>
      <c r="F6" s="1245"/>
      <c r="G6" s="408"/>
      <c r="H6" s="421" t="s">
        <v>487</v>
      </c>
      <c r="I6" s="627" t="str">
        <f>IF(AND($C$9+$C$10+$C$11=1,$C$12+$C$13+$C$14=0,C15=2),"ДА","НЕТ")</f>
        <v>НЕТ</v>
      </c>
      <c r="J6" s="325"/>
      <c r="K6" s="326">
        <f t="shared" si="0"/>
        <v>0</v>
      </c>
      <c r="L6" s="408"/>
    </row>
    <row r="7" spans="1:12" ht="12" customHeight="1" thickBot="1">
      <c r="A7" s="408"/>
      <c r="B7" s="432" t="s">
        <v>412</v>
      </c>
      <c r="C7" s="468">
        <v>0</v>
      </c>
      <c r="D7" s="436" t="s">
        <v>287</v>
      </c>
      <c r="E7" s="437" t="s">
        <v>255</v>
      </c>
      <c r="F7" s="566" t="s">
        <v>669</v>
      </c>
      <c r="G7" s="492"/>
      <c r="H7" s="421" t="s">
        <v>488</v>
      </c>
      <c r="I7" s="627" t="str">
        <f>IF(AND($C$9+$C$10+$C$11=1,$C$12+$C$13+$C$14=0,C15=2),"ДА","НЕТ")</f>
        <v>НЕТ</v>
      </c>
      <c r="J7" s="325"/>
      <c r="K7" s="326">
        <f t="shared" si="0"/>
        <v>0</v>
      </c>
      <c r="L7" s="408"/>
    </row>
    <row r="8" spans="1:12" ht="12" customHeight="1" thickBot="1">
      <c r="A8" s="408"/>
      <c r="B8" s="432" t="s">
        <v>481</v>
      </c>
      <c r="C8" s="468">
        <v>0</v>
      </c>
      <c r="D8" s="436" t="s">
        <v>287</v>
      </c>
      <c r="E8" s="437" t="s">
        <v>255</v>
      </c>
      <c r="F8" s="565"/>
      <c r="G8" s="526"/>
      <c r="H8" s="421" t="s">
        <v>494</v>
      </c>
      <c r="I8" s="627" t="str">
        <f>IF(AND($C$9+$C$10+$C$11=1,$C$12+$C$13+$C$14=0,C15=2),"ДА","НЕТ")</f>
        <v>НЕТ</v>
      </c>
      <c r="J8" s="325"/>
      <c r="K8" s="326">
        <f t="shared" si="0"/>
        <v>0</v>
      </c>
      <c r="L8" s="408"/>
    </row>
    <row r="9" spans="1:12" ht="12" customHeight="1">
      <c r="A9" s="408"/>
      <c r="B9" s="410" t="s">
        <v>498</v>
      </c>
      <c r="C9" s="467">
        <v>0</v>
      </c>
      <c r="D9" s="423" t="s">
        <v>287</v>
      </c>
      <c r="E9" s="424" t="s">
        <v>255</v>
      </c>
      <c r="F9" s="1246" t="s">
        <v>597</v>
      </c>
      <c r="G9" s="492"/>
      <c r="H9" s="416" t="s">
        <v>590</v>
      </c>
      <c r="I9" s="627" t="str">
        <f>IF(AND($C$9+$C$10+$C$11=1,$C$12+$C$13+$C$14=0,C15=1),"ДА","НЕТ")</f>
        <v>ДА</v>
      </c>
      <c r="J9" s="321"/>
      <c r="K9" s="322">
        <f t="shared" si="0"/>
        <v>0</v>
      </c>
      <c r="L9" s="408"/>
    </row>
    <row r="10" spans="1:12" ht="12" customHeight="1">
      <c r="A10" s="408"/>
      <c r="B10" s="420" t="s">
        <v>499</v>
      </c>
      <c r="C10" s="464">
        <v>0</v>
      </c>
      <c r="D10" s="427" t="s">
        <v>287</v>
      </c>
      <c r="E10" s="427" t="s">
        <v>255</v>
      </c>
      <c r="F10" s="1247"/>
      <c r="G10" s="408"/>
      <c r="H10" s="416" t="s">
        <v>383</v>
      </c>
      <c r="I10" s="627" t="str">
        <f>IF(AND($C$9+$C$10+$C$11+C14=0,$C$12+$C$13=1,C15=1),"ДА","НЕТ")</f>
        <v>НЕТ</v>
      </c>
      <c r="J10" s="328"/>
      <c r="K10" s="329">
        <f t="shared" si="0"/>
        <v>0</v>
      </c>
      <c r="L10" s="408"/>
    </row>
    <row r="11" spans="1:12" ht="12" customHeight="1">
      <c r="A11" s="408"/>
      <c r="B11" s="420" t="s">
        <v>587</v>
      </c>
      <c r="C11" s="464">
        <v>1</v>
      </c>
      <c r="D11" s="427" t="s">
        <v>287</v>
      </c>
      <c r="E11" s="427" t="s">
        <v>255</v>
      </c>
      <c r="F11" s="1247"/>
      <c r="G11" s="408"/>
      <c r="H11" s="419" t="s">
        <v>384</v>
      </c>
      <c r="I11" s="627" t="str">
        <f>IF(AND($C$9+$C$10+$C$11+C14=0,$C$12+$C$13=1,C15=1),"ДА","НЕТ")</f>
        <v>НЕТ</v>
      </c>
      <c r="J11" s="328"/>
      <c r="K11" s="329">
        <f t="shared" si="0"/>
        <v>0</v>
      </c>
      <c r="L11" s="408"/>
    </row>
    <row r="12" spans="1:12" ht="12" customHeight="1">
      <c r="A12" s="408"/>
      <c r="B12" s="422" t="s">
        <v>500</v>
      </c>
      <c r="C12" s="465">
        <v>0</v>
      </c>
      <c r="D12" s="425" t="s">
        <v>287</v>
      </c>
      <c r="E12" s="426" t="s">
        <v>255</v>
      </c>
      <c r="F12" s="1247"/>
      <c r="G12" s="408"/>
      <c r="H12" s="419" t="s">
        <v>385</v>
      </c>
      <c r="I12" s="627" t="str">
        <f>IF(AND($C$9+$C$10+$C$11+C14=0,$C$12+$C$13=1,C15=1),"ДА","НЕТ")</f>
        <v>НЕТ</v>
      </c>
      <c r="J12" s="331"/>
      <c r="K12" s="329">
        <f t="shared" si="0"/>
        <v>0</v>
      </c>
      <c r="L12" s="408"/>
    </row>
    <row r="13" spans="1:12" ht="12" customHeight="1">
      <c r="A13" s="408"/>
      <c r="B13" s="420" t="s">
        <v>501</v>
      </c>
      <c r="C13" s="464">
        <v>0</v>
      </c>
      <c r="D13" s="427" t="s">
        <v>287</v>
      </c>
      <c r="E13" s="428" t="s">
        <v>255</v>
      </c>
      <c r="F13" s="1247"/>
      <c r="G13" s="408"/>
      <c r="H13" s="419" t="s">
        <v>592</v>
      </c>
      <c r="I13" s="627" t="str">
        <f>IF(AND($C$10+$C$11+$C$12+$C$13+$C$9=0,$C$14=1,C15=1),"ДА","НЕТ")</f>
        <v>НЕТ</v>
      </c>
      <c r="J13" s="331"/>
      <c r="K13" s="329">
        <f t="shared" si="0"/>
        <v>0</v>
      </c>
      <c r="L13" s="408"/>
    </row>
    <row r="14" spans="1:12" ht="12" customHeight="1" thickBot="1">
      <c r="A14" s="408"/>
      <c r="B14" s="443" t="s">
        <v>588</v>
      </c>
      <c r="C14" s="469">
        <v>0</v>
      </c>
      <c r="D14" s="427" t="s">
        <v>287</v>
      </c>
      <c r="E14" s="428" t="s">
        <v>255</v>
      </c>
      <c r="F14" s="1248"/>
      <c r="G14" s="408"/>
      <c r="H14" s="419" t="s">
        <v>592</v>
      </c>
      <c r="I14" s="627" t="str">
        <f>IF(AND($C$10+$C$11+$C$12+$C$13+$C$9=0,$C$14=1,C15=1),"ДА","НЕТ")</f>
        <v>НЕТ</v>
      </c>
      <c r="J14" s="331"/>
      <c r="K14" s="329">
        <f t="shared" si="0"/>
        <v>0</v>
      </c>
      <c r="L14" s="408"/>
    </row>
    <row r="15" spans="1:12" ht="12" customHeight="1" thickBot="1">
      <c r="A15" s="408"/>
      <c r="B15" s="432" t="s">
        <v>589</v>
      </c>
      <c r="C15" s="551">
        <v>1</v>
      </c>
      <c r="D15" s="436" t="s">
        <v>619</v>
      </c>
      <c r="E15" s="437" t="s">
        <v>620</v>
      </c>
      <c r="F15" s="439" t="s">
        <v>621</v>
      </c>
      <c r="G15" s="408"/>
      <c r="H15" s="416" t="s">
        <v>388</v>
      </c>
      <c r="I15" s="627" t="str">
        <f>IF(AND($C$9+$C$10+$C$11+C14=0,$C$12+$C$13=1,C15=2),"ДА","НЕТ")</f>
        <v>НЕТ</v>
      </c>
      <c r="J15" s="328"/>
      <c r="K15" s="329">
        <f t="shared" si="0"/>
        <v>0</v>
      </c>
      <c r="L15" s="408"/>
    </row>
    <row r="16" spans="1:12" ht="12" customHeight="1" thickBot="1">
      <c r="A16" s="408"/>
      <c r="B16" s="443" t="s">
        <v>531</v>
      </c>
      <c r="C16" s="469">
        <v>0</v>
      </c>
      <c r="D16" s="427" t="s">
        <v>287</v>
      </c>
      <c r="E16" s="428" t="s">
        <v>255</v>
      </c>
      <c r="F16" s="566" t="s">
        <v>669</v>
      </c>
      <c r="G16" s="408"/>
      <c r="H16" s="419" t="s">
        <v>389</v>
      </c>
      <c r="I16" s="627" t="str">
        <f>IF(AND($C$9+$C$10+$C$11+C14=0,$C$12+$C$13=1,C15=2),"ДА","НЕТ")</f>
        <v>НЕТ</v>
      </c>
      <c r="J16" s="328"/>
      <c r="K16" s="329">
        <f t="shared" si="0"/>
        <v>0</v>
      </c>
      <c r="L16" s="408"/>
    </row>
    <row r="17" spans="1:12" ht="12" customHeight="1">
      <c r="A17" s="408"/>
      <c r="B17" s="410" t="s">
        <v>361</v>
      </c>
      <c r="C17" s="467">
        <v>0</v>
      </c>
      <c r="D17" s="423" t="s">
        <v>287</v>
      </c>
      <c r="E17" s="424" t="s">
        <v>255</v>
      </c>
      <c r="F17" s="1246" t="s">
        <v>597</v>
      </c>
      <c r="G17" s="408"/>
      <c r="H17" s="419" t="s">
        <v>390</v>
      </c>
      <c r="I17" s="627" t="str">
        <f>IF(AND($C$9+$C$10+$C$11+C14=0,$C$12+$C$13=1,C15=2),"ДА","НЕТ")</f>
        <v>НЕТ</v>
      </c>
      <c r="J17" s="328"/>
      <c r="K17" s="326">
        <f t="shared" si="0"/>
        <v>0</v>
      </c>
      <c r="L17" s="408"/>
    </row>
    <row r="18" spans="1:12" ht="12" customHeight="1">
      <c r="A18" s="408"/>
      <c r="B18" s="422" t="s">
        <v>466</v>
      </c>
      <c r="C18" s="465">
        <v>0</v>
      </c>
      <c r="D18" s="427" t="s">
        <v>287</v>
      </c>
      <c r="E18" s="428" t="s">
        <v>255</v>
      </c>
      <c r="F18" s="1247"/>
      <c r="G18" s="408"/>
      <c r="H18" s="416" t="s">
        <v>593</v>
      </c>
      <c r="I18" s="626" t="str">
        <f>IF(AND($C$10+$C$11+$C$12+$C$13+$C$9=0,$C$14=1,C15=2),"ДА","НЕТ")</f>
        <v>НЕТ</v>
      </c>
      <c r="J18" s="332"/>
      <c r="K18" s="333">
        <f t="shared" si="0"/>
        <v>0</v>
      </c>
      <c r="L18" s="408"/>
    </row>
    <row r="19" spans="1:12" ht="12" customHeight="1" thickBot="1">
      <c r="A19" s="408"/>
      <c r="B19" s="420" t="s">
        <v>362</v>
      </c>
      <c r="C19" s="464">
        <v>0</v>
      </c>
      <c r="D19" s="427" t="s">
        <v>287</v>
      </c>
      <c r="E19" s="428" t="s">
        <v>255</v>
      </c>
      <c r="F19" s="1247"/>
      <c r="G19" s="408"/>
      <c r="H19" s="440" t="s">
        <v>594</v>
      </c>
      <c r="I19" s="637" t="str">
        <f>IF(AND($C$10+$C$11+$C$12+$C$13+$C$9=0,$C$14=1,C15=2),"ДА","НЕТ")</f>
        <v>НЕТ</v>
      </c>
      <c r="J19" s="335"/>
      <c r="K19" s="336">
        <f t="shared" si="0"/>
        <v>0</v>
      </c>
      <c r="L19" s="408"/>
    </row>
    <row r="20" spans="1:12" ht="12" customHeight="1" thickBot="1">
      <c r="A20" s="408"/>
      <c r="B20" s="415" t="s">
        <v>467</v>
      </c>
      <c r="C20" s="466">
        <v>1</v>
      </c>
      <c r="D20" s="430" t="s">
        <v>287</v>
      </c>
      <c r="E20" s="431" t="s">
        <v>255</v>
      </c>
      <c r="F20" s="1248"/>
      <c r="G20" s="408"/>
      <c r="H20" s="408"/>
      <c r="I20" s="408"/>
      <c r="J20" s="408"/>
      <c r="K20" s="408"/>
      <c r="L20" s="408"/>
    </row>
    <row r="21" spans="1:12" ht="12" customHeight="1" thickBot="1">
      <c r="A21" s="408"/>
      <c r="B21" s="443" t="s">
        <v>532</v>
      </c>
      <c r="C21" s="469">
        <v>0</v>
      </c>
      <c r="D21" s="430" t="s">
        <v>287</v>
      </c>
      <c r="E21" s="431" t="s">
        <v>255</v>
      </c>
      <c r="F21" s="560"/>
      <c r="G21" s="408"/>
      <c r="H21" s="408"/>
      <c r="I21" s="408"/>
      <c r="J21" s="408"/>
      <c r="K21" s="408"/>
      <c r="L21" s="408"/>
    </row>
    <row r="22" spans="1:12" ht="12" customHeight="1">
      <c r="A22" s="408"/>
      <c r="B22" s="732" t="s">
        <v>147</v>
      </c>
      <c r="C22" s="467">
        <v>1</v>
      </c>
      <c r="D22" s="1250" t="s">
        <v>686</v>
      </c>
      <c r="E22" s="1250"/>
      <c r="F22" s="1251"/>
      <c r="G22" s="408"/>
      <c r="H22" s="408"/>
      <c r="I22" s="408"/>
      <c r="J22" s="408"/>
      <c r="K22" s="408"/>
      <c r="L22" s="408"/>
    </row>
    <row r="23" spans="1:12" ht="12" customHeight="1" thickBot="1">
      <c r="A23" s="408"/>
      <c r="B23" s="733" t="s">
        <v>146</v>
      </c>
      <c r="C23" s="466">
        <v>0</v>
      </c>
      <c r="D23" s="1256" t="s">
        <v>687</v>
      </c>
      <c r="E23" s="1256"/>
      <c r="F23" s="1257"/>
      <c r="G23" s="408"/>
      <c r="H23" s="408"/>
      <c r="I23" s="408"/>
      <c r="J23" s="408"/>
      <c r="K23" s="408"/>
      <c r="L23" s="408"/>
    </row>
    <row r="24" spans="1:12" ht="12" customHeight="1" thickBot="1">
      <c r="A24" s="408"/>
      <c r="B24" s="442"/>
      <c r="C24" s="442"/>
      <c r="D24" s="442"/>
      <c r="E24" s="442"/>
      <c r="F24" s="442"/>
      <c r="G24" s="408"/>
      <c r="H24" s="408"/>
      <c r="I24" s="408"/>
      <c r="J24" s="408"/>
      <c r="K24" s="408"/>
      <c r="L24" s="408"/>
    </row>
    <row r="25" spans="1:12" ht="12" customHeight="1">
      <c r="A25" s="408"/>
      <c r="B25" s="447" t="s">
        <v>5</v>
      </c>
      <c r="C25" s="448" t="s">
        <v>0</v>
      </c>
      <c r="D25" s="634" t="s">
        <v>4</v>
      </c>
      <c r="E25" s="450" t="s">
        <v>8</v>
      </c>
      <c r="F25" s="442"/>
      <c r="G25" s="408"/>
      <c r="H25" s="408"/>
      <c r="I25" s="408"/>
      <c r="J25" s="408"/>
      <c r="K25" s="408"/>
      <c r="L25" s="408"/>
    </row>
    <row r="26" spans="1:12" ht="12" customHeight="1">
      <c r="A26" s="408"/>
      <c r="B26" s="452" t="s">
        <v>563</v>
      </c>
      <c r="C26" s="345">
        <f>IF(AND(C16=0,C7=0),C20*(C4+C5+C6),0)</f>
        <v>1</v>
      </c>
      <c r="D26" s="554">
        <v>1</v>
      </c>
      <c r="E26" s="555">
        <f t="shared" ref="E26:E37" si="1">D26*C26</f>
        <v>1</v>
      </c>
      <c r="F26" s="442"/>
      <c r="G26" s="408"/>
      <c r="H26" s="408"/>
      <c r="I26" s="408"/>
      <c r="J26" s="408"/>
      <c r="K26" s="408"/>
      <c r="L26" s="408"/>
    </row>
    <row r="27" spans="1:12" ht="12" customHeight="1">
      <c r="A27" s="408"/>
      <c r="B27" s="452" t="s">
        <v>564</v>
      </c>
      <c r="C27" s="345">
        <f>(C4+C5+C6)*C18</f>
        <v>0</v>
      </c>
      <c r="D27" s="554"/>
      <c r="E27" s="555">
        <f>C27*D27</f>
        <v>0</v>
      </c>
      <c r="F27" s="442"/>
      <c r="G27" s="408"/>
      <c r="H27" s="408"/>
      <c r="I27" s="408"/>
      <c r="J27" s="408"/>
      <c r="K27" s="408"/>
      <c r="L27" s="408"/>
    </row>
    <row r="28" spans="1:12" ht="12" customHeight="1">
      <c r="A28" s="408"/>
      <c r="B28" s="452" t="s">
        <v>653</v>
      </c>
      <c r="C28" s="345">
        <f>IF(AND(C16=1,C7=0),C16*(C4+C5+C6),0)</f>
        <v>0</v>
      </c>
      <c r="D28" s="554"/>
      <c r="E28" s="555">
        <f>D28*C28</f>
        <v>0</v>
      </c>
      <c r="F28" s="442"/>
      <c r="G28" s="408"/>
      <c r="H28" s="408"/>
      <c r="I28" s="408"/>
      <c r="J28" s="408"/>
      <c r="K28" s="408"/>
      <c r="L28" s="408"/>
    </row>
    <row r="29" spans="1:12" ht="12" customHeight="1">
      <c r="A29" s="408"/>
      <c r="B29" s="452" t="s">
        <v>654</v>
      </c>
      <c r="C29" s="345">
        <f>IF(AND(C7=1,C16=0),C20*(C4+C5+C6)*C7,0)</f>
        <v>0</v>
      </c>
      <c r="D29" s="554"/>
      <c r="E29" s="555">
        <f t="shared" si="1"/>
        <v>0</v>
      </c>
      <c r="F29" s="442"/>
      <c r="G29" s="408"/>
      <c r="H29" s="408"/>
      <c r="I29" s="408"/>
      <c r="J29" s="408"/>
      <c r="K29" s="408"/>
      <c r="L29" s="408"/>
    </row>
    <row r="30" spans="1:12" ht="12" customHeight="1">
      <c r="A30" s="408"/>
      <c r="B30" s="452" t="s">
        <v>117</v>
      </c>
      <c r="C30" s="345">
        <f>(C17+C19)*2*(C4+C5+C6)</f>
        <v>0</v>
      </c>
      <c r="D30" s="554"/>
      <c r="E30" s="555">
        <f t="shared" si="1"/>
        <v>0</v>
      </c>
      <c r="F30" s="442"/>
      <c r="G30" s="408"/>
      <c r="H30" s="408"/>
      <c r="I30" s="408"/>
      <c r="J30" s="408"/>
      <c r="K30" s="408"/>
      <c r="L30" s="408"/>
    </row>
    <row r="31" spans="1:12" ht="12" customHeight="1">
      <c r="A31" s="408"/>
      <c r="B31" s="454" t="s">
        <v>655</v>
      </c>
      <c r="C31" s="350">
        <f>EVEN(ROUNDDOWN(IF(C4+C5+C6&gt;0.9,(C4+C5+C6)*(C2/0.5)+1,0),0))</f>
        <v>10</v>
      </c>
      <c r="D31" s="554"/>
      <c r="E31" s="555">
        <f t="shared" si="1"/>
        <v>0</v>
      </c>
      <c r="F31" s="442"/>
      <c r="G31" s="408"/>
      <c r="H31" s="408"/>
      <c r="I31" s="408"/>
      <c r="J31" s="408"/>
      <c r="K31" s="408"/>
      <c r="L31" s="408"/>
    </row>
    <row r="32" spans="1:12" ht="12" customHeight="1">
      <c r="A32" s="408"/>
      <c r="B32" s="454" t="s">
        <v>420</v>
      </c>
      <c r="C32" s="350">
        <f>IF(AND(C9+C10+C11&gt;0,C12+C13+C14=0),(C4+C5+C6)*2,0)</f>
        <v>2</v>
      </c>
      <c r="D32" s="554"/>
      <c r="E32" s="555">
        <f t="shared" si="1"/>
        <v>0</v>
      </c>
      <c r="F32" s="442"/>
      <c r="G32" s="408"/>
      <c r="H32" s="408"/>
      <c r="I32" s="408"/>
      <c r="J32" s="408"/>
      <c r="K32" s="408"/>
      <c r="L32" s="408"/>
    </row>
    <row r="33" spans="1:12" ht="12" customHeight="1">
      <c r="A33" s="408"/>
      <c r="B33" s="454" t="s">
        <v>420</v>
      </c>
      <c r="C33" s="350">
        <f>IF(AND(C9+C10+C11=0,C12+C13+C14&gt;0),(C4+C5+C6),0)</f>
        <v>0</v>
      </c>
      <c r="D33" s="554"/>
      <c r="E33" s="555">
        <f>D33*C33</f>
        <v>0</v>
      </c>
      <c r="F33" s="442"/>
      <c r="G33" s="408"/>
      <c r="H33" s="408"/>
      <c r="I33" s="408"/>
      <c r="J33" s="408"/>
      <c r="K33" s="408"/>
      <c r="L33" s="408"/>
    </row>
    <row r="34" spans="1:12" ht="12" customHeight="1">
      <c r="A34" s="408"/>
      <c r="B34" s="454" t="s">
        <v>511</v>
      </c>
      <c r="C34" s="350">
        <f>IF(AND(C9+C10+C11=0,C12+C13+C14&gt;0),(C4+C5),0)</f>
        <v>0</v>
      </c>
      <c r="D34" s="554"/>
      <c r="E34" s="555">
        <f t="shared" si="1"/>
        <v>0</v>
      </c>
      <c r="F34" s="442"/>
      <c r="G34" s="408"/>
      <c r="H34" s="408"/>
      <c r="I34" s="408"/>
      <c r="J34" s="408"/>
      <c r="K34" s="408"/>
      <c r="L34" s="408"/>
    </row>
    <row r="35" spans="1:12" ht="12" customHeight="1">
      <c r="A35" s="408"/>
      <c r="B35" s="452" t="s">
        <v>656</v>
      </c>
      <c r="C35" s="345">
        <f>C4+C5+C6</f>
        <v>1</v>
      </c>
      <c r="D35" s="554"/>
      <c r="E35" s="555">
        <f t="shared" si="1"/>
        <v>0</v>
      </c>
      <c r="F35" s="442"/>
      <c r="G35" s="408"/>
      <c r="H35" s="408"/>
      <c r="I35" s="408"/>
      <c r="J35" s="408"/>
      <c r="K35" s="408"/>
      <c r="L35" s="408"/>
    </row>
    <row r="36" spans="1:12" ht="12" customHeight="1">
      <c r="A36" s="408"/>
      <c r="B36" s="452" t="s">
        <v>657</v>
      </c>
      <c r="C36" s="353">
        <f>C4+C5+C6</f>
        <v>1</v>
      </c>
      <c r="D36" s="554"/>
      <c r="E36" s="555">
        <f t="shared" si="1"/>
        <v>0</v>
      </c>
      <c r="F36" s="442"/>
      <c r="G36" s="408"/>
      <c r="H36" s="408"/>
      <c r="I36" s="408"/>
      <c r="J36" s="408"/>
      <c r="K36" s="408"/>
      <c r="L36" s="408"/>
    </row>
    <row r="37" spans="1:12" ht="12" customHeight="1">
      <c r="A37" s="408"/>
      <c r="B37" s="452" t="s">
        <v>658</v>
      </c>
      <c r="C37" s="345">
        <f>(C4+C5+C6)*2</f>
        <v>2</v>
      </c>
      <c r="D37" s="554"/>
      <c r="E37" s="555">
        <f t="shared" si="1"/>
        <v>0</v>
      </c>
      <c r="F37" s="442"/>
      <c r="G37" s="408"/>
      <c r="H37" s="408"/>
      <c r="I37" s="408"/>
      <c r="J37" s="408"/>
      <c r="K37" s="408"/>
      <c r="L37" s="408"/>
    </row>
    <row r="38" spans="1:12" ht="12" customHeight="1">
      <c r="A38" s="408"/>
      <c r="B38" s="454" t="s">
        <v>646</v>
      </c>
      <c r="C38" s="345">
        <f>C21*(C4+C5+C6)</f>
        <v>0</v>
      </c>
      <c r="D38" s="554"/>
      <c r="E38" s="555">
        <f>D38*C38</f>
        <v>0</v>
      </c>
      <c r="F38" s="442"/>
      <c r="G38" s="408"/>
      <c r="H38" s="408"/>
      <c r="I38" s="408"/>
      <c r="J38" s="408"/>
      <c r="K38" s="408"/>
      <c r="L38" s="408"/>
    </row>
    <row r="39" spans="1:12" ht="12" customHeight="1">
      <c r="A39" s="408"/>
      <c r="B39" s="454" t="s">
        <v>445</v>
      </c>
      <c r="C39" s="345">
        <f>C4</f>
        <v>0</v>
      </c>
      <c r="D39" s="554"/>
      <c r="E39" s="555">
        <f>C39*D39</f>
        <v>0</v>
      </c>
      <c r="F39" s="442"/>
      <c r="G39" s="408"/>
      <c r="H39" s="408"/>
      <c r="I39" s="408"/>
      <c r="J39" s="408"/>
      <c r="K39" s="408"/>
      <c r="L39" s="408"/>
    </row>
    <row r="40" spans="1:12" ht="12" customHeight="1">
      <c r="A40" s="408"/>
      <c r="B40" s="454" t="s">
        <v>446</v>
      </c>
      <c r="C40" s="345">
        <f>C4*2</f>
        <v>0</v>
      </c>
      <c r="D40" s="554"/>
      <c r="E40" s="555">
        <f>C40*D40</f>
        <v>0</v>
      </c>
      <c r="F40" s="442"/>
      <c r="G40" s="408"/>
      <c r="H40" s="408"/>
      <c r="I40" s="408"/>
      <c r="J40" s="408"/>
      <c r="K40" s="408"/>
      <c r="L40" s="408"/>
    </row>
    <row r="41" spans="1:12" ht="12" customHeight="1">
      <c r="A41" s="408"/>
      <c r="B41" s="454" t="s">
        <v>652</v>
      </c>
      <c r="C41" s="345">
        <f>C6*2</f>
        <v>2</v>
      </c>
      <c r="D41" s="554"/>
      <c r="E41" s="555">
        <f>C41*D41</f>
        <v>0</v>
      </c>
      <c r="F41" s="442"/>
      <c r="G41" s="408"/>
      <c r="H41" s="408"/>
      <c r="I41" s="408"/>
      <c r="J41" s="408"/>
      <c r="K41" s="408"/>
      <c r="L41" s="408"/>
    </row>
    <row r="42" spans="1:12" ht="12" customHeight="1">
      <c r="A42" s="408"/>
      <c r="B42" s="454" t="s">
        <v>434</v>
      </c>
      <c r="C42" s="345">
        <f>C5+C6</f>
        <v>1</v>
      </c>
      <c r="D42" s="554"/>
      <c r="E42" s="555">
        <f>C42*D42</f>
        <v>0</v>
      </c>
      <c r="F42" s="442"/>
      <c r="G42" s="408"/>
      <c r="H42" s="408"/>
      <c r="I42" s="408"/>
      <c r="J42" s="408"/>
      <c r="K42" s="408"/>
      <c r="L42" s="408"/>
    </row>
    <row r="43" spans="1:12" ht="12" customHeight="1">
      <c r="A43" s="408"/>
      <c r="B43" s="452" t="s">
        <v>474</v>
      </c>
      <c r="C43" s="345">
        <f>(C4+C5+C6)*C2</f>
        <v>4</v>
      </c>
      <c r="D43" s="554"/>
      <c r="E43" s="555">
        <f>D43*C43</f>
        <v>0</v>
      </c>
      <c r="F43" s="442"/>
      <c r="G43" s="408"/>
      <c r="H43" s="408"/>
      <c r="I43" s="408"/>
      <c r="J43" s="408"/>
      <c r="K43" s="408"/>
      <c r="L43" s="408"/>
    </row>
    <row r="44" spans="1:12" ht="12" customHeight="1">
      <c r="A44" s="408"/>
      <c r="B44" s="452" t="s">
        <v>474</v>
      </c>
      <c r="C44" s="345">
        <f>C20*C2*(C4+C5+C6)</f>
        <v>4</v>
      </c>
      <c r="D44" s="554"/>
      <c r="E44" s="555">
        <f>D44*C44</f>
        <v>0</v>
      </c>
      <c r="F44" s="442"/>
      <c r="G44" s="408"/>
      <c r="H44" s="408"/>
      <c r="I44" s="408"/>
      <c r="J44" s="408"/>
      <c r="K44" s="408"/>
      <c r="L44" s="408"/>
    </row>
    <row r="45" spans="1:12" ht="12" customHeight="1">
      <c r="A45" s="408"/>
      <c r="B45" s="454" t="s">
        <v>363</v>
      </c>
      <c r="C45" s="350">
        <f>C19*2*C2*(C4+C5+C6)</f>
        <v>0</v>
      </c>
      <c r="D45" s="554"/>
      <c r="E45" s="555">
        <f>D45*C45</f>
        <v>0</v>
      </c>
      <c r="F45" s="442"/>
      <c r="G45" s="408"/>
      <c r="H45" s="408"/>
      <c r="I45" s="408"/>
      <c r="J45" s="408"/>
      <c r="K45" s="408"/>
      <c r="L45" s="408"/>
    </row>
    <row r="46" spans="1:12" ht="12" customHeight="1">
      <c r="A46" s="408"/>
      <c r="B46" s="454" t="s">
        <v>477</v>
      </c>
      <c r="C46" s="350">
        <f>(C17+C18)*C2*(C4+C5+C6)</f>
        <v>0</v>
      </c>
      <c r="D46" s="556"/>
      <c r="E46" s="555">
        <f>C46*D46</f>
        <v>0</v>
      </c>
      <c r="F46" s="442"/>
      <c r="G46" s="408"/>
      <c r="H46" s="408"/>
      <c r="I46" s="408"/>
      <c r="J46" s="408"/>
      <c r="K46" s="408"/>
      <c r="L46" s="408"/>
    </row>
    <row r="47" spans="1:12" ht="12" customHeight="1">
      <c r="A47" s="408"/>
      <c r="B47" s="454" t="s">
        <v>473</v>
      </c>
      <c r="C47" s="350">
        <f>C20*C2*(C4+C5+C6)</f>
        <v>4</v>
      </c>
      <c r="D47" s="554"/>
      <c r="E47" s="555">
        <f>D47*C47</f>
        <v>0</v>
      </c>
      <c r="F47" s="442"/>
      <c r="G47" s="408"/>
      <c r="H47" s="408"/>
      <c r="I47" s="408"/>
      <c r="J47" s="408"/>
      <c r="K47" s="408"/>
      <c r="L47" s="408"/>
    </row>
    <row r="48" spans="1:12" ht="12" customHeight="1">
      <c r="A48" s="408"/>
      <c r="B48" s="454" t="s">
        <v>537</v>
      </c>
      <c r="C48" s="350">
        <f>C18*C2*(C4+C5+C6)</f>
        <v>0</v>
      </c>
      <c r="D48" s="554"/>
      <c r="E48" s="555">
        <f>D48*C48</f>
        <v>0</v>
      </c>
      <c r="F48" s="442"/>
      <c r="G48" s="408"/>
      <c r="H48" s="408"/>
      <c r="I48" s="408"/>
      <c r="J48" s="408"/>
      <c r="K48" s="408"/>
      <c r="L48" s="408"/>
    </row>
    <row r="49" spans="1:12" ht="12" customHeight="1">
      <c r="A49" s="408"/>
      <c r="B49" s="454" t="s">
        <v>364</v>
      </c>
      <c r="C49" s="350">
        <f>C17*C2*(C4+C5*C6)</f>
        <v>0</v>
      </c>
      <c r="D49" s="554"/>
      <c r="E49" s="555">
        <f t="shared" ref="E49:E83" si="2">C49*D49</f>
        <v>0</v>
      </c>
      <c r="F49" s="442"/>
      <c r="G49" s="408"/>
      <c r="H49" s="408"/>
      <c r="I49" s="408"/>
      <c r="J49" s="408"/>
      <c r="K49" s="408"/>
      <c r="L49" s="408"/>
    </row>
    <row r="50" spans="1:12" ht="12" customHeight="1">
      <c r="A50" s="408"/>
      <c r="B50" s="454" t="s">
        <v>365</v>
      </c>
      <c r="C50" s="350">
        <f>C19*C2*(C4+C5+C6)</f>
        <v>0</v>
      </c>
      <c r="D50" s="554"/>
      <c r="E50" s="555">
        <f t="shared" si="2"/>
        <v>0</v>
      </c>
      <c r="F50" s="442"/>
      <c r="G50" s="408"/>
      <c r="H50" s="408"/>
      <c r="I50" s="408"/>
      <c r="J50" s="408"/>
      <c r="K50" s="408"/>
      <c r="L50" s="408"/>
    </row>
    <row r="51" spans="1:12" ht="12" customHeight="1">
      <c r="A51" s="408"/>
      <c r="B51" s="452" t="s">
        <v>461</v>
      </c>
      <c r="C51" s="345">
        <f>C2*C4</f>
        <v>0</v>
      </c>
      <c r="D51" s="554"/>
      <c r="E51" s="555">
        <f t="shared" si="2"/>
        <v>0</v>
      </c>
      <c r="F51" s="442"/>
      <c r="G51" s="408"/>
      <c r="H51" s="408"/>
      <c r="I51" s="408"/>
      <c r="J51" s="408"/>
      <c r="K51" s="408"/>
      <c r="L51" s="408"/>
    </row>
    <row r="52" spans="1:12" ht="12" customHeight="1">
      <c r="A52" s="408"/>
      <c r="B52" s="452" t="s">
        <v>462</v>
      </c>
      <c r="C52" s="345">
        <f>C2*C5</f>
        <v>0</v>
      </c>
      <c r="D52" s="554"/>
      <c r="E52" s="555">
        <f t="shared" si="2"/>
        <v>0</v>
      </c>
      <c r="F52" s="442"/>
      <c r="G52" s="408"/>
      <c r="H52" s="608"/>
      <c r="I52" s="408"/>
      <c r="J52" s="408"/>
      <c r="K52" s="408"/>
      <c r="L52" s="408"/>
    </row>
    <row r="53" spans="1:12" ht="12" customHeight="1">
      <c r="A53" s="408"/>
      <c r="B53" s="452" t="s">
        <v>601</v>
      </c>
      <c r="C53" s="345">
        <f>C2*C6</f>
        <v>4</v>
      </c>
      <c r="D53" s="554"/>
      <c r="E53" s="555">
        <f>C53*D53</f>
        <v>0</v>
      </c>
      <c r="F53" s="442"/>
      <c r="G53" s="408"/>
      <c r="H53" s="408"/>
      <c r="I53" s="408"/>
      <c r="J53" s="408"/>
      <c r="K53" s="408"/>
      <c r="L53" s="408"/>
    </row>
    <row r="54" spans="1:12" ht="12" customHeight="1">
      <c r="A54" s="408"/>
      <c r="B54" s="638" t="s">
        <v>640</v>
      </c>
      <c r="C54" s="345">
        <f>IF(AND(C7=1,C8=1),(C4+C5+C6)*C2,0)</f>
        <v>0</v>
      </c>
      <c r="D54" s="554"/>
      <c r="E54" s="555">
        <f t="shared" si="2"/>
        <v>0</v>
      </c>
      <c r="F54" s="442"/>
      <c r="G54" s="408"/>
      <c r="H54" s="408"/>
      <c r="I54" s="408"/>
      <c r="J54" s="408"/>
      <c r="K54" s="408"/>
      <c r="L54" s="408"/>
    </row>
    <row r="55" spans="1:12" ht="12" customHeight="1">
      <c r="A55" s="408"/>
      <c r="B55" s="452" t="s">
        <v>442</v>
      </c>
      <c r="C55" s="345">
        <f>(C4+C5+C6)*2</f>
        <v>2</v>
      </c>
      <c r="D55" s="554"/>
      <c r="E55" s="555">
        <f t="shared" si="2"/>
        <v>0</v>
      </c>
      <c r="F55" s="442"/>
      <c r="G55" s="408"/>
      <c r="H55" s="408"/>
      <c r="I55" s="408"/>
      <c r="J55" s="408"/>
      <c r="K55" s="408"/>
      <c r="L55" s="408"/>
    </row>
    <row r="56" spans="1:12" ht="12" customHeight="1">
      <c r="A56" s="408"/>
      <c r="B56" s="454" t="s">
        <v>659</v>
      </c>
      <c r="C56" s="350">
        <f>IF(C7=1,(C4+C5+C6)*2*C3,0)</f>
        <v>0</v>
      </c>
      <c r="D56" s="554"/>
      <c r="E56" s="555">
        <f t="shared" si="2"/>
        <v>0</v>
      </c>
      <c r="F56" s="442"/>
      <c r="G56" s="408"/>
      <c r="H56" s="408"/>
      <c r="I56" s="408"/>
      <c r="J56" s="408"/>
      <c r="K56" s="408"/>
      <c r="L56" s="408"/>
    </row>
    <row r="57" spans="1:12" ht="12" customHeight="1">
      <c r="A57" s="408"/>
      <c r="B57" s="454" t="s">
        <v>660</v>
      </c>
      <c r="C57" s="350">
        <f>IF(C7=1,(C4+C5+C6)*2*C3,0)</f>
        <v>0</v>
      </c>
      <c r="D57" s="554"/>
      <c r="E57" s="555">
        <f t="shared" si="2"/>
        <v>0</v>
      </c>
      <c r="F57" s="442"/>
      <c r="G57" s="408"/>
      <c r="H57" s="408"/>
      <c r="I57" s="408"/>
      <c r="J57" s="408"/>
      <c r="K57" s="408"/>
      <c r="L57" s="408"/>
    </row>
    <row r="58" spans="1:12" ht="12" customHeight="1">
      <c r="A58" s="408"/>
      <c r="B58" s="452" t="s">
        <v>661</v>
      </c>
      <c r="C58" s="345">
        <f>(C4+C5+C6)*C2</f>
        <v>4</v>
      </c>
      <c r="D58" s="554"/>
      <c r="E58" s="555">
        <f t="shared" si="2"/>
        <v>0</v>
      </c>
      <c r="F58" s="442"/>
      <c r="G58" s="408"/>
      <c r="H58" s="408"/>
      <c r="I58" s="408"/>
      <c r="J58" s="408"/>
      <c r="K58" s="408"/>
      <c r="L58" s="408"/>
    </row>
    <row r="59" spans="1:12" ht="12" customHeight="1">
      <c r="A59" s="408"/>
      <c r="B59" s="452" t="s">
        <v>662</v>
      </c>
      <c r="C59" s="345">
        <f>(C4+C5+C6)*C2</f>
        <v>4</v>
      </c>
      <c r="D59" s="554"/>
      <c r="E59" s="555">
        <f t="shared" si="2"/>
        <v>0</v>
      </c>
      <c r="F59" s="442"/>
      <c r="G59" s="408"/>
      <c r="H59" s="408"/>
      <c r="I59" s="408"/>
      <c r="J59" s="408"/>
      <c r="K59" s="408"/>
      <c r="L59" s="408"/>
    </row>
    <row r="60" spans="1:12" ht="12" customHeight="1">
      <c r="A60" s="408"/>
      <c r="B60" s="454" t="s">
        <v>647</v>
      </c>
      <c r="C60" s="350">
        <f>IF(C21=0,C4+C5+C6,0)</f>
        <v>1</v>
      </c>
      <c r="D60" s="554"/>
      <c r="E60" s="555">
        <f t="shared" si="2"/>
        <v>0</v>
      </c>
      <c r="F60" s="442"/>
      <c r="G60" s="408"/>
      <c r="H60" s="408"/>
      <c r="I60" s="408"/>
      <c r="J60" s="408"/>
      <c r="K60" s="408"/>
      <c r="L60" s="408"/>
    </row>
    <row r="61" spans="1:12" ht="12" customHeight="1">
      <c r="A61" s="408"/>
      <c r="B61" s="454" t="s">
        <v>726</v>
      </c>
      <c r="C61" s="350">
        <f>IF(C16=1,(C4+C5+C6)*2,0)</f>
        <v>0</v>
      </c>
      <c r="D61" s="554"/>
      <c r="E61" s="555">
        <f t="shared" si="2"/>
        <v>0</v>
      </c>
      <c r="F61" s="442"/>
      <c r="G61" s="408"/>
      <c r="H61" s="408"/>
      <c r="I61" s="408"/>
      <c r="J61" s="408"/>
      <c r="K61" s="408"/>
      <c r="L61" s="408"/>
    </row>
    <row r="62" spans="1:12" ht="12" customHeight="1">
      <c r="A62" s="408"/>
      <c r="B62" s="454" t="s">
        <v>726</v>
      </c>
      <c r="C62" s="350">
        <f>(C4+C5+C6)*4</f>
        <v>4</v>
      </c>
      <c r="D62" s="554"/>
      <c r="E62" s="555">
        <f t="shared" si="2"/>
        <v>0</v>
      </c>
      <c r="F62" s="442"/>
      <c r="G62" s="408"/>
      <c r="H62" s="408"/>
      <c r="I62" s="408"/>
      <c r="J62" s="408"/>
      <c r="K62" s="408"/>
      <c r="L62" s="408"/>
    </row>
    <row r="63" spans="1:12" ht="12" customHeight="1">
      <c r="A63" s="408"/>
      <c r="B63" s="528" t="s">
        <v>538</v>
      </c>
      <c r="C63" s="350">
        <f>IF(C7=1,(C4+C5+C6)*2,0)</f>
        <v>0</v>
      </c>
      <c r="D63" s="554"/>
      <c r="E63" s="555">
        <f t="shared" si="2"/>
        <v>0</v>
      </c>
      <c r="F63" s="442"/>
      <c r="G63" s="408"/>
      <c r="H63" s="408"/>
      <c r="I63" s="408"/>
      <c r="J63" s="408"/>
      <c r="K63" s="408"/>
      <c r="L63" s="408"/>
    </row>
    <row r="64" spans="1:12" ht="12" customHeight="1">
      <c r="A64" s="408"/>
      <c r="B64" s="638" t="s">
        <v>663</v>
      </c>
      <c r="C64" s="402">
        <f>IF(AND(C8=0,C7=1),(C4+C5+C6)*2,0)</f>
        <v>0</v>
      </c>
      <c r="D64" s="557"/>
      <c r="E64" s="555">
        <f t="shared" si="2"/>
        <v>0</v>
      </c>
      <c r="F64" s="442"/>
      <c r="G64" s="408"/>
      <c r="H64" s="408"/>
      <c r="I64" s="408"/>
      <c r="J64" s="408"/>
      <c r="K64" s="408"/>
      <c r="L64" s="408"/>
    </row>
    <row r="65" spans="1:12" ht="12" customHeight="1">
      <c r="A65" s="408"/>
      <c r="B65" s="638" t="s">
        <v>664</v>
      </c>
      <c r="C65" s="402">
        <f>C7*2*(C4+C5+C6)</f>
        <v>0</v>
      </c>
      <c r="D65" s="557"/>
      <c r="E65" s="555">
        <f t="shared" si="2"/>
        <v>0</v>
      </c>
      <c r="F65" s="442"/>
      <c r="G65" s="408"/>
      <c r="H65" s="408"/>
      <c r="I65" s="408"/>
      <c r="J65" s="408"/>
      <c r="K65" s="408"/>
      <c r="L65" s="408"/>
    </row>
    <row r="66" spans="1:12" ht="12" customHeight="1">
      <c r="A66" s="408"/>
      <c r="B66" s="638" t="s">
        <v>665</v>
      </c>
      <c r="C66" s="402">
        <f>IF(AND(C7=1,C8=1),(C4+C5+C6)*2,0)</f>
        <v>0</v>
      </c>
      <c r="D66" s="557"/>
      <c r="E66" s="555">
        <f t="shared" si="2"/>
        <v>0</v>
      </c>
      <c r="F66" s="442"/>
      <c r="G66" s="408"/>
      <c r="H66" s="408"/>
      <c r="I66" s="408"/>
      <c r="J66" s="408"/>
      <c r="K66" s="408"/>
      <c r="L66" s="408"/>
    </row>
    <row r="67" spans="1:12" ht="12" customHeight="1">
      <c r="A67" s="408"/>
      <c r="B67" s="638" t="s">
        <v>465</v>
      </c>
      <c r="C67" s="402">
        <f>C7*2*(C4+C5+C6)</f>
        <v>0</v>
      </c>
      <c r="D67" s="557"/>
      <c r="E67" s="555">
        <f t="shared" si="2"/>
        <v>0</v>
      </c>
      <c r="F67" s="442"/>
      <c r="G67" s="408"/>
      <c r="H67" s="408"/>
      <c r="I67" s="408"/>
      <c r="J67" s="408"/>
      <c r="K67" s="408"/>
      <c r="L67" s="408"/>
    </row>
    <row r="68" spans="1:12" ht="12" customHeight="1">
      <c r="A68" s="408"/>
      <c r="B68" s="638" t="s">
        <v>483</v>
      </c>
      <c r="C68" s="402">
        <f>C2*(C4+C5+C6)</f>
        <v>4</v>
      </c>
      <c r="D68" s="557"/>
      <c r="E68" s="555">
        <f t="shared" si="2"/>
        <v>0</v>
      </c>
      <c r="F68" s="442"/>
      <c r="G68" s="408"/>
      <c r="H68" s="408"/>
      <c r="I68" s="408"/>
      <c r="J68" s="408"/>
      <c r="K68" s="408"/>
      <c r="L68" s="408"/>
    </row>
    <row r="69" spans="1:12" ht="12" customHeight="1">
      <c r="A69" s="408"/>
      <c r="B69" s="638" t="s">
        <v>483</v>
      </c>
      <c r="C69" s="402">
        <f>IF(C8=1,C2*(C4+C5+C6),0)</f>
        <v>0</v>
      </c>
      <c r="D69" s="557"/>
      <c r="E69" s="555">
        <f t="shared" si="2"/>
        <v>0</v>
      </c>
      <c r="F69" s="442"/>
      <c r="G69" s="408"/>
      <c r="H69" s="408"/>
      <c r="I69" s="408"/>
      <c r="J69" s="408"/>
      <c r="K69" s="408"/>
      <c r="L69" s="408"/>
    </row>
    <row r="70" spans="1:12" ht="12" customHeight="1">
      <c r="A70" s="408"/>
      <c r="B70" s="638" t="s">
        <v>482</v>
      </c>
      <c r="C70" s="402">
        <f>IF(C7=1,C3*4*(C4+C5+C6),0)</f>
        <v>0</v>
      </c>
      <c r="D70" s="557"/>
      <c r="E70" s="555">
        <f t="shared" si="2"/>
        <v>0</v>
      </c>
      <c r="F70" s="442"/>
      <c r="G70" s="408"/>
      <c r="H70" s="408"/>
      <c r="I70" s="408"/>
      <c r="J70" s="408"/>
      <c r="K70" s="408"/>
      <c r="L70" s="408"/>
    </row>
    <row r="71" spans="1:12" ht="12" customHeight="1">
      <c r="A71" s="408"/>
      <c r="B71" s="455" t="s">
        <v>378</v>
      </c>
      <c r="C71" s="357">
        <f>C9*C4</f>
        <v>0</v>
      </c>
      <c r="D71" s="556"/>
      <c r="E71" s="555">
        <f t="shared" si="2"/>
        <v>0</v>
      </c>
      <c r="F71" s="442"/>
      <c r="G71" s="408"/>
      <c r="H71" s="408"/>
      <c r="I71" s="408"/>
      <c r="J71" s="408"/>
      <c r="K71" s="408"/>
      <c r="L71" s="408"/>
    </row>
    <row r="72" spans="1:12" ht="12" customHeight="1">
      <c r="A72" s="408"/>
      <c r="B72" s="455" t="s">
        <v>598</v>
      </c>
      <c r="C72" s="357">
        <f>C12*C4</f>
        <v>0</v>
      </c>
      <c r="D72" s="556"/>
      <c r="E72" s="555">
        <f t="shared" si="2"/>
        <v>0</v>
      </c>
      <c r="F72" s="442"/>
      <c r="G72" s="408"/>
      <c r="H72" s="408"/>
      <c r="I72" s="408"/>
      <c r="J72" s="408"/>
      <c r="K72" s="408"/>
      <c r="L72" s="408"/>
    </row>
    <row r="73" spans="1:12" ht="12" customHeight="1">
      <c r="A73" s="408"/>
      <c r="B73" s="455" t="s">
        <v>436</v>
      </c>
      <c r="C73" s="357">
        <f>C10*C5</f>
        <v>0</v>
      </c>
      <c r="D73" s="556"/>
      <c r="E73" s="555">
        <f t="shared" si="2"/>
        <v>0</v>
      </c>
      <c r="F73" s="442"/>
      <c r="G73" s="408"/>
      <c r="H73" s="408"/>
      <c r="I73" s="408"/>
      <c r="J73" s="408"/>
      <c r="K73" s="408"/>
      <c r="L73" s="408"/>
    </row>
    <row r="74" spans="1:12" ht="12" customHeight="1">
      <c r="A74" s="408"/>
      <c r="B74" s="455" t="s">
        <v>602</v>
      </c>
      <c r="C74" s="357">
        <f>C6*C11</f>
        <v>1</v>
      </c>
      <c r="D74" s="351"/>
      <c r="E74" s="347">
        <f t="shared" si="2"/>
        <v>0</v>
      </c>
      <c r="F74" s="442"/>
      <c r="G74" s="408"/>
      <c r="H74" s="408"/>
      <c r="I74" s="408"/>
      <c r="J74" s="408"/>
      <c r="K74" s="408"/>
      <c r="L74" s="408"/>
    </row>
    <row r="75" spans="1:12" ht="12" customHeight="1">
      <c r="A75" s="408"/>
      <c r="B75" s="455" t="s">
        <v>603</v>
      </c>
      <c r="C75" s="357">
        <f>C6*C14</f>
        <v>0</v>
      </c>
      <c r="D75" s="351"/>
      <c r="E75" s="347">
        <f t="shared" si="2"/>
        <v>0</v>
      </c>
      <c r="F75" s="442"/>
      <c r="G75" s="408"/>
      <c r="H75" s="408"/>
      <c r="I75" s="408"/>
      <c r="J75" s="408"/>
      <c r="K75" s="408"/>
      <c r="L75" s="408"/>
    </row>
    <row r="76" spans="1:12" ht="12" customHeight="1">
      <c r="A76" s="408"/>
      <c r="B76" s="455" t="s">
        <v>599</v>
      </c>
      <c r="C76" s="357">
        <f>C13*C5</f>
        <v>0</v>
      </c>
      <c r="D76" s="556"/>
      <c r="E76" s="555">
        <f t="shared" si="2"/>
        <v>0</v>
      </c>
      <c r="F76" s="442"/>
      <c r="G76" s="408"/>
      <c r="H76" s="408"/>
      <c r="I76" s="408"/>
      <c r="J76" s="408"/>
      <c r="K76" s="408"/>
      <c r="L76" s="408"/>
    </row>
    <row r="77" spans="1:12" ht="12" customHeight="1">
      <c r="A77" s="408"/>
      <c r="B77" s="454" t="s">
        <v>425</v>
      </c>
      <c r="C77" s="357">
        <f>IF(C16&gt;0,C16*C3*2*(C4+C5+C6)+0.3,0)</f>
        <v>0</v>
      </c>
      <c r="D77" s="556"/>
      <c r="E77" s="555">
        <f t="shared" si="2"/>
        <v>0</v>
      </c>
      <c r="F77" s="442"/>
      <c r="G77" s="408"/>
      <c r="H77" s="408"/>
      <c r="I77" s="408"/>
      <c r="J77" s="408"/>
      <c r="K77" s="408"/>
      <c r="L77" s="408"/>
    </row>
    <row r="78" spans="1:12" ht="12" customHeight="1">
      <c r="A78" s="408"/>
      <c r="B78" s="454" t="s">
        <v>426</v>
      </c>
      <c r="C78" s="357">
        <f>IF(C16=1,C16*2*(C4+C5+C6),0)</f>
        <v>0</v>
      </c>
      <c r="D78" s="556"/>
      <c r="E78" s="555">
        <f t="shared" si="2"/>
        <v>0</v>
      </c>
      <c r="F78" s="442"/>
      <c r="G78" s="408"/>
      <c r="H78" s="408"/>
      <c r="I78" s="408"/>
      <c r="J78" s="408"/>
      <c r="K78" s="408"/>
      <c r="L78" s="408"/>
    </row>
    <row r="79" spans="1:12" ht="12" customHeight="1">
      <c r="A79" s="408"/>
      <c r="B79" s="454" t="s">
        <v>427</v>
      </c>
      <c r="C79" s="357">
        <f>C16*2*(C4+C5+C6)</f>
        <v>0</v>
      </c>
      <c r="D79" s="556"/>
      <c r="E79" s="555">
        <f t="shared" si="2"/>
        <v>0</v>
      </c>
      <c r="F79" s="442"/>
      <c r="G79" s="408"/>
      <c r="H79" s="408"/>
      <c r="I79" s="408"/>
      <c r="J79" s="408"/>
      <c r="K79" s="408"/>
      <c r="L79" s="408"/>
    </row>
    <row r="80" spans="1:12" ht="12" customHeight="1">
      <c r="A80" s="408"/>
      <c r="B80" s="454" t="s">
        <v>428</v>
      </c>
      <c r="C80" s="357">
        <f>C16*2*(C4+C5+C6)</f>
        <v>0</v>
      </c>
      <c r="D80" s="556"/>
      <c r="E80" s="555">
        <f t="shared" si="2"/>
        <v>0</v>
      </c>
      <c r="F80" s="456"/>
      <c r="G80" s="408"/>
      <c r="H80" s="408"/>
      <c r="I80" s="408"/>
      <c r="J80" s="408"/>
      <c r="K80" s="408"/>
      <c r="L80" s="408"/>
    </row>
    <row r="81" spans="1:12" ht="12" customHeight="1">
      <c r="A81" s="408"/>
      <c r="B81" s="528" t="s">
        <v>145</v>
      </c>
      <c r="C81" s="509">
        <f>C23</f>
        <v>0</v>
      </c>
      <c r="D81" s="525"/>
      <c r="E81" s="403">
        <f t="shared" si="2"/>
        <v>0</v>
      </c>
      <c r="F81" s="456"/>
      <c r="G81" s="408"/>
      <c r="H81" s="408"/>
      <c r="I81" s="408"/>
      <c r="J81" s="408"/>
      <c r="K81" s="408"/>
      <c r="L81" s="408"/>
    </row>
    <row r="82" spans="1:12" ht="12" customHeight="1">
      <c r="A82" s="408"/>
      <c r="B82" s="454" t="s">
        <v>148</v>
      </c>
      <c r="C82" s="350">
        <f>C22</f>
        <v>1</v>
      </c>
      <c r="D82" s="356"/>
      <c r="E82" s="347">
        <f t="shared" si="2"/>
        <v>0</v>
      </c>
      <c r="F82" s="456"/>
      <c r="G82" s="408"/>
      <c r="H82" s="408"/>
      <c r="I82" s="408"/>
      <c r="J82" s="408"/>
      <c r="K82" s="408"/>
      <c r="L82" s="408"/>
    </row>
    <row r="83" spans="1:12" ht="12" customHeight="1" thickBot="1">
      <c r="A83" s="408"/>
      <c r="B83" s="529" t="s">
        <v>429</v>
      </c>
      <c r="C83" s="405">
        <f>C16*2*(C4+C5+C6)</f>
        <v>0</v>
      </c>
      <c r="D83" s="558"/>
      <c r="E83" s="559">
        <f t="shared" si="2"/>
        <v>0</v>
      </c>
      <c r="F83" s="442"/>
      <c r="G83" s="408"/>
      <c r="H83" s="408"/>
      <c r="I83" s="408"/>
      <c r="J83" s="408"/>
      <c r="K83" s="408"/>
      <c r="L83" s="408"/>
    </row>
    <row r="84" spans="1:12" ht="12" customHeight="1" thickBot="1">
      <c r="A84" s="408"/>
      <c r="B84" s="442"/>
      <c r="C84" s="442"/>
      <c r="D84" s="458" t="s">
        <v>9</v>
      </c>
      <c r="E84" s="530">
        <f>SUMIF(E26:E83,"&gt;0",E26:E83)</f>
        <v>1</v>
      </c>
      <c r="F84" s="442"/>
      <c r="G84" s="408"/>
      <c r="H84" s="408"/>
      <c r="I84" s="408"/>
      <c r="J84" s="408"/>
      <c r="K84" s="408"/>
      <c r="L84" s="408"/>
    </row>
    <row r="85" spans="1:12" ht="12" customHeight="1">
      <c r="A85" s="408"/>
      <c r="B85" s="442"/>
      <c r="C85" s="442"/>
      <c r="D85" s="442"/>
      <c r="E85" s="442"/>
      <c r="F85" s="442"/>
      <c r="G85" s="408"/>
      <c r="H85" s="408"/>
      <c r="I85" s="408"/>
      <c r="J85" s="408"/>
      <c r="K85" s="408"/>
      <c r="L85" s="408"/>
    </row>
    <row r="86" spans="1:12" ht="12" customHeight="1">
      <c r="A86" s="408"/>
      <c r="B86" s="442"/>
      <c r="C86" s="442"/>
      <c r="D86" s="442"/>
      <c r="E86" s="442"/>
      <c r="F86" s="442"/>
      <c r="G86" s="408"/>
      <c r="H86" s="408"/>
      <c r="I86" s="408"/>
      <c r="J86" s="408"/>
      <c r="K86" s="408"/>
      <c r="L86" s="408"/>
    </row>
    <row r="87" spans="1:12" ht="12" customHeight="1">
      <c r="A87" s="408"/>
      <c r="B87" s="408"/>
      <c r="C87" s="408"/>
      <c r="D87" s="408"/>
      <c r="E87" s="408"/>
      <c r="F87" s="408"/>
      <c r="G87" s="408"/>
      <c r="H87" s="408"/>
      <c r="I87" s="408"/>
      <c r="J87" s="408"/>
      <c r="K87" s="408"/>
      <c r="L87" s="408"/>
    </row>
    <row r="88" spans="1:12" ht="12" customHeight="1">
      <c r="A88" s="408"/>
      <c r="B88" s="408"/>
      <c r="C88" s="408"/>
      <c r="D88" s="408"/>
      <c r="E88" s="408"/>
      <c r="F88" s="408"/>
      <c r="G88" s="408"/>
      <c r="H88" s="408"/>
      <c r="I88" s="408"/>
      <c r="J88" s="408"/>
      <c r="K88" s="408"/>
      <c r="L88" s="408"/>
    </row>
    <row r="89" spans="1:12" ht="12" customHeight="1">
      <c r="A89" s="408"/>
      <c r="B89" s="408"/>
      <c r="C89" s="408"/>
      <c r="D89" s="408"/>
      <c r="E89" s="408"/>
      <c r="F89" s="408"/>
      <c r="G89" s="408"/>
      <c r="H89" s="408"/>
      <c r="I89" s="408"/>
      <c r="J89" s="408"/>
      <c r="K89" s="408"/>
      <c r="L89" s="408"/>
    </row>
    <row r="90" spans="1:12" ht="12" customHeight="1">
      <c r="A90" s="408"/>
      <c r="B90" s="408"/>
      <c r="C90" s="408"/>
      <c r="D90" s="408"/>
      <c r="E90" s="408"/>
      <c r="F90" s="408"/>
      <c r="G90" s="408"/>
      <c r="H90" s="408"/>
      <c r="I90" s="408"/>
      <c r="J90" s="408"/>
      <c r="K90" s="408"/>
      <c r="L90" s="408"/>
    </row>
  </sheetData>
  <sheetProtection algorithmName="SHA-512" hashValue="SZQ83dJCkYyjx8KQ6X0EeQLQ+i/JYw2nVEqwpksy3qgk5nCixrrmGhcQjjwgZiWnyp5vgmDYMK1zlvG26iZUFw==" saltValue="vQx59niTUqONE37s0HSx1A==" spinCount="100000" sheet="1"/>
  <mergeCells count="7">
    <mergeCell ref="B1:E1"/>
    <mergeCell ref="D22:F22"/>
    <mergeCell ref="D23:F23"/>
    <mergeCell ref="F17:F20"/>
    <mergeCell ref="F9:F14"/>
    <mergeCell ref="D2:F3"/>
    <mergeCell ref="D4:F6"/>
  </mergeCells>
  <conditionalFormatting sqref="C15">
    <cfRule type="cellIs" dxfId="548" priority="66" operator="greaterThan">
      <formula>0</formula>
    </cfRule>
  </conditionalFormatting>
  <conditionalFormatting sqref="J3:J19">
    <cfRule type="cellIs" dxfId="547" priority="12" operator="greaterThan">
      <formula>0</formula>
    </cfRule>
    <cfRule type="cellIs" dxfId="546" priority="13" operator="greaterThan">
      <formula>0</formula>
    </cfRule>
  </conditionalFormatting>
  <conditionalFormatting sqref="H10:H12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H10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I3:I4 I10:I12 I6:I8 I15:I17">
    <cfRule type="cellIs" dxfId="545" priority="33" operator="equal">
      <formula>"ДА"</formula>
    </cfRule>
    <cfRule type="cellIs" dxfId="544" priority="34" operator="equal">
      <formula>"НЕТ"</formula>
    </cfRule>
  </conditionalFormatting>
  <conditionalFormatting sqref="I3:I4 I6:I8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543" priority="30" operator="equal">
      <formula>"ДА"</formula>
    </cfRule>
    <cfRule type="cellIs" dxfId="542" priority="31" operator="equal">
      <formula>"НЕТ"</formula>
    </cfRule>
  </conditionalFormatting>
  <conditionalFormatting sqref="I5">
    <cfRule type="cellIs" dxfId="541" priority="27" operator="equal">
      <formula>"ДА"</formula>
    </cfRule>
    <cfRule type="cellIs" dxfId="540" priority="28" operator="equal">
      <formula>"НЕТ"</formula>
    </cfRule>
  </conditionalFormatting>
  <conditionalFormatting sqref="I9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539" priority="23" operator="equal">
      <formula>"ДА"</formula>
    </cfRule>
    <cfRule type="cellIs" dxfId="538" priority="24" operator="equal">
      <formula>"НЕТ"</formula>
    </cfRule>
  </conditionalFormatting>
  <conditionalFormatting sqref="I5">
    <cfRule type="colorScale" priority="2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5">
      <iconSet iconSet="3Symbols">
        <cfvo type="percent" val="0"/>
        <cfvo type="percent" val="33"/>
        <cfvo type="percent" val="67"/>
      </iconSet>
    </cfRule>
    <cfRule type="expression" priority="26">
      <formula>"H71=1"</formula>
    </cfRule>
  </conditionalFormatting>
  <conditionalFormatting sqref="I14">
    <cfRule type="cellIs" dxfId="537" priority="19" operator="equal">
      <formula>"ДА"</formula>
    </cfRule>
    <cfRule type="cellIs" dxfId="536" priority="20" operator="equal">
      <formula>"НЕТ"</formula>
    </cfRule>
  </conditionalFormatting>
  <conditionalFormatting sqref="H14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I18">
    <cfRule type="cellIs" dxfId="535" priority="17" operator="equal">
      <formula>"ДА"</formula>
    </cfRule>
    <cfRule type="cellIs" dxfId="534" priority="18" operator="equal">
      <formula>"НЕТ"</formula>
    </cfRule>
  </conditionalFormatting>
  <conditionalFormatting sqref="I19">
    <cfRule type="cellIs" dxfId="533" priority="15" operator="equal">
      <formula>"ДА"</formula>
    </cfRule>
    <cfRule type="cellIs" dxfId="532" priority="16" operator="equal">
      <formula>"НЕТ"</formula>
    </cfRule>
  </conditionalFormatting>
  <conditionalFormatting sqref="K3:K19">
    <cfRule type="cellIs" dxfId="531" priority="14" operator="greaterThan">
      <formula>0</formula>
    </cfRule>
  </conditionalFormatting>
  <conditionalFormatting sqref="C74:E74">
    <cfRule type="cellIs" dxfId="530" priority="11" operator="greaterThan">
      <formula>0</formula>
    </cfRule>
  </conditionalFormatting>
  <conditionalFormatting sqref="C75:E75">
    <cfRule type="cellIs" dxfId="529" priority="10" operator="greaterThan">
      <formula>0</formula>
    </cfRule>
  </conditionalFormatting>
  <conditionalFormatting sqref="I15:I19">
    <cfRule type="cellIs" dxfId="528" priority="9" operator="equal">
      <formula>"НЕТ"</formula>
    </cfRule>
  </conditionalFormatting>
  <conditionalFormatting sqref="I3:I19">
    <cfRule type="cellIs" dxfId="527" priority="5" operator="equal">
      <formula>"НЕТ"</formula>
    </cfRule>
    <cfRule type="cellIs" dxfId="526" priority="8" operator="equal">
      <formula>"ДА"</formula>
    </cfRule>
  </conditionalFormatting>
  <conditionalFormatting sqref="C2:C21">
    <cfRule type="cellIs" dxfId="525" priority="7" operator="greaterThan">
      <formula>0</formula>
    </cfRule>
  </conditionalFormatting>
  <conditionalFormatting sqref="C26:E80 C83:E83">
    <cfRule type="cellIs" dxfId="524" priority="6" operator="greaterThan">
      <formula>0</formula>
    </cfRule>
  </conditionalFormatting>
  <conditionalFormatting sqref="I3:I18">
    <cfRule type="cellIs" dxfId="523" priority="4" operator="equal">
      <formula>"ДА"</formula>
    </cfRule>
  </conditionalFormatting>
  <conditionalFormatting sqref="E84">
    <cfRule type="cellIs" dxfId="522" priority="3" operator="greaterThan">
      <formula>0</formula>
    </cfRule>
  </conditionalFormatting>
  <conditionalFormatting sqref="C22:C23">
    <cfRule type="cellIs" dxfId="521" priority="2" operator="greaterThan">
      <formula>0</formula>
    </cfRule>
  </conditionalFormatting>
  <conditionalFormatting sqref="C81:E82">
    <cfRule type="cellIs" dxfId="520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E46 E27" formula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K78"/>
  <sheetViews>
    <sheetView workbookViewId="0">
      <pane ySplit="23" topLeftCell="A51" activePane="bottomLeft" state="frozen"/>
      <selection pane="bottomLeft" activeCell="F57" sqref="F57"/>
    </sheetView>
  </sheetViews>
  <sheetFormatPr defaultRowHeight="11.25"/>
  <cols>
    <col min="2" max="2" width="53" customWidth="1"/>
    <col min="4" max="4" width="10.6640625" customWidth="1"/>
    <col min="5" max="5" width="12.83203125" customWidth="1"/>
    <col min="6" max="6" width="18.1640625" customWidth="1"/>
    <col min="7" max="7" width="4.83203125" customWidth="1"/>
    <col min="8" max="8" width="49.33203125" customWidth="1"/>
    <col min="9" max="9" width="4.6640625" customWidth="1"/>
  </cols>
  <sheetData>
    <row r="1" spans="1:11" ht="49.5" customHeight="1" thickBot="1">
      <c r="A1" s="408"/>
      <c r="B1" s="1286"/>
      <c r="C1" s="1287"/>
      <c r="D1" s="1287"/>
      <c r="E1" s="1287"/>
      <c r="F1" s="408"/>
      <c r="G1" s="408"/>
      <c r="H1" s="408"/>
      <c r="I1" s="408"/>
      <c r="J1" s="408"/>
      <c r="K1" s="408"/>
    </row>
    <row r="2" spans="1:11" ht="12.75" customHeight="1" thickBot="1">
      <c r="A2" s="408"/>
      <c r="B2" s="410" t="s">
        <v>666</v>
      </c>
      <c r="C2" s="461">
        <v>0</v>
      </c>
      <c r="D2" s="1238" t="s">
        <v>595</v>
      </c>
      <c r="E2" s="1239"/>
      <c r="F2" s="1240"/>
      <c r="G2" s="408"/>
      <c r="H2" s="412" t="s">
        <v>485</v>
      </c>
      <c r="I2" s="413" t="s">
        <v>604</v>
      </c>
      <c r="J2" s="479" t="s">
        <v>4</v>
      </c>
      <c r="K2" s="480" t="s">
        <v>8</v>
      </c>
    </row>
    <row r="3" spans="1:11" ht="12.75" thickBot="1">
      <c r="A3" s="408"/>
      <c r="B3" s="415" t="s">
        <v>667</v>
      </c>
      <c r="C3" s="462">
        <v>0</v>
      </c>
      <c r="D3" s="1241"/>
      <c r="E3" s="1242"/>
      <c r="F3" s="1243"/>
      <c r="G3" s="408"/>
      <c r="H3" s="416" t="s">
        <v>372</v>
      </c>
      <c r="I3" s="417" t="str">
        <f>IF(AND($C$6=1,$C$5+$C$7+$C$8=0,$C$9=2),"ДА","НЕТ")</f>
        <v>НЕТ</v>
      </c>
      <c r="J3" s="321"/>
      <c r="K3" s="322">
        <f>IF(I3="ДА",($C$10+$C$11)*J3,0)</f>
        <v>0</v>
      </c>
    </row>
    <row r="4" spans="1:11" ht="12.75" thickBot="1">
      <c r="A4" s="408"/>
      <c r="B4" s="432" t="s">
        <v>127</v>
      </c>
      <c r="C4" s="569">
        <v>0</v>
      </c>
      <c r="D4" s="1290" t="s">
        <v>128</v>
      </c>
      <c r="E4" s="1291"/>
      <c r="F4" s="1292"/>
      <c r="G4" s="408"/>
      <c r="H4" s="419" t="s">
        <v>373</v>
      </c>
      <c r="I4" s="417" t="str">
        <f>IF(AND($C$6=1,$C$5+$C$7+$C$8=0,$C$9=2),"ДА","НЕТ")</f>
        <v>НЕТ</v>
      </c>
      <c r="J4" s="398"/>
      <c r="K4" s="322">
        <f t="shared" ref="K4:K17" si="0">IF(I4="ДА",($C$10+$C$11)*J4,0)</f>
        <v>0</v>
      </c>
    </row>
    <row r="5" spans="1:11" ht="12" customHeight="1">
      <c r="A5" s="408"/>
      <c r="B5" s="410" t="s">
        <v>492</v>
      </c>
      <c r="C5" s="467">
        <v>0</v>
      </c>
      <c r="D5" s="423" t="s">
        <v>287</v>
      </c>
      <c r="E5" s="423" t="s">
        <v>255</v>
      </c>
      <c r="F5" s="1246" t="s">
        <v>597</v>
      </c>
      <c r="G5" s="408"/>
      <c r="H5" s="419" t="s">
        <v>374</v>
      </c>
      <c r="I5" s="417" t="str">
        <f>IF(AND($C$6=1,$C$5+$C$7+$C$8=0,$C$9=2),"ДА","НЕТ")</f>
        <v>НЕТ</v>
      </c>
      <c r="J5" s="398"/>
      <c r="K5" s="322">
        <f t="shared" si="0"/>
        <v>0</v>
      </c>
    </row>
    <row r="6" spans="1:11" ht="12">
      <c r="A6" s="408"/>
      <c r="B6" s="420" t="s">
        <v>490</v>
      </c>
      <c r="C6" s="464">
        <v>0</v>
      </c>
      <c r="D6" s="427" t="s">
        <v>287</v>
      </c>
      <c r="E6" s="427" t="s">
        <v>255</v>
      </c>
      <c r="F6" s="1247"/>
      <c r="G6" s="408"/>
      <c r="H6" s="421" t="s">
        <v>376</v>
      </c>
      <c r="I6" s="417" t="str">
        <f>IF(AND($C$6=1,$C$5+$C$7+$C$8=0,$C$9=3),"ДА","НЕТ")</f>
        <v>НЕТ</v>
      </c>
      <c r="J6" s="325"/>
      <c r="K6" s="322">
        <f t="shared" si="0"/>
        <v>0</v>
      </c>
    </row>
    <row r="7" spans="1:11" ht="12">
      <c r="A7" s="408"/>
      <c r="B7" s="420" t="s">
        <v>493</v>
      </c>
      <c r="C7" s="464">
        <v>0</v>
      </c>
      <c r="D7" s="427" t="s">
        <v>287</v>
      </c>
      <c r="E7" s="427" t="s">
        <v>255</v>
      </c>
      <c r="F7" s="1247"/>
      <c r="G7" s="408"/>
      <c r="H7" s="419" t="s">
        <v>489</v>
      </c>
      <c r="I7" s="417" t="str">
        <f>IF(AND($C$8=1,$C$5+$C$6+$C$7=0,$C$9=1),"ДА","НЕТ")</f>
        <v>НЕТ</v>
      </c>
      <c r="J7" s="398"/>
      <c r="K7" s="322">
        <f t="shared" si="0"/>
        <v>0</v>
      </c>
    </row>
    <row r="8" spans="1:11" ht="12.75" thickBot="1">
      <c r="A8" s="408"/>
      <c r="B8" s="517" t="s">
        <v>491</v>
      </c>
      <c r="C8" s="516">
        <v>0</v>
      </c>
      <c r="D8" s="629" t="s">
        <v>287</v>
      </c>
      <c r="E8" s="519" t="s">
        <v>255</v>
      </c>
      <c r="F8" s="1248"/>
      <c r="G8" s="408"/>
      <c r="H8" s="421" t="s">
        <v>486</v>
      </c>
      <c r="I8" s="417" t="str">
        <f>IF(AND($C$8=1,$C$5+$C$6+$C$7=0,$C$9=3),"ДА","НЕТ")</f>
        <v>НЕТ</v>
      </c>
      <c r="J8" s="325"/>
      <c r="K8" s="322">
        <f t="shared" si="0"/>
        <v>0</v>
      </c>
    </row>
    <row r="9" spans="1:11" ht="12.75" thickBot="1">
      <c r="A9" s="408"/>
      <c r="B9" s="432" t="s">
        <v>589</v>
      </c>
      <c r="C9" s="551">
        <v>0</v>
      </c>
      <c r="D9" s="436" t="s">
        <v>619</v>
      </c>
      <c r="E9" s="437" t="s">
        <v>620</v>
      </c>
      <c r="F9" s="439" t="s">
        <v>621</v>
      </c>
      <c r="G9" s="408"/>
      <c r="H9" s="421" t="s">
        <v>487</v>
      </c>
      <c r="I9" s="417" t="str">
        <f>IF(AND($C$8=1,$C$5+$C$6+$C$7=0,$C$9=2),"ДА","НЕТ")</f>
        <v>НЕТ</v>
      </c>
      <c r="J9" s="325"/>
      <c r="K9" s="322">
        <f t="shared" si="0"/>
        <v>0</v>
      </c>
    </row>
    <row r="10" spans="1:11" ht="12" customHeight="1">
      <c r="A10" s="408"/>
      <c r="B10" s="422" t="s">
        <v>670</v>
      </c>
      <c r="C10" s="570">
        <v>0</v>
      </c>
      <c r="D10" s="1280" t="s">
        <v>597</v>
      </c>
      <c r="E10" s="1281"/>
      <c r="F10" s="1282"/>
      <c r="G10" s="408"/>
      <c r="H10" s="421" t="s">
        <v>488</v>
      </c>
      <c r="I10" s="417" t="str">
        <f>IF(AND($C$8=1,$C$5+$C$6+$C$7=0,$C$9=2),"ДА","НЕТ")</f>
        <v>НЕТ</v>
      </c>
      <c r="J10" s="325"/>
      <c r="K10" s="322">
        <f t="shared" si="0"/>
        <v>0</v>
      </c>
    </row>
    <row r="11" spans="1:11" ht="12.75" thickBot="1">
      <c r="A11" s="408"/>
      <c r="B11" s="517" t="s">
        <v>671</v>
      </c>
      <c r="C11" s="571">
        <v>0</v>
      </c>
      <c r="D11" s="1283"/>
      <c r="E11" s="1284"/>
      <c r="F11" s="1285"/>
      <c r="G11" s="408"/>
      <c r="H11" s="421" t="s">
        <v>494</v>
      </c>
      <c r="I11" s="417" t="str">
        <f>IF(AND($C$8=1,$C$5+$C$6+$C$7=0,$C$9=2),"ДА","НЕТ")</f>
        <v>НЕТ</v>
      </c>
      <c r="J11" s="325"/>
      <c r="K11" s="322">
        <f t="shared" si="0"/>
        <v>0</v>
      </c>
    </row>
    <row r="12" spans="1:11" ht="12.75" thickBot="1">
      <c r="A12" s="408"/>
      <c r="B12" s="432" t="s">
        <v>543</v>
      </c>
      <c r="C12" s="569">
        <v>0</v>
      </c>
      <c r="D12" s="436" t="s">
        <v>287</v>
      </c>
      <c r="E12" s="437" t="s">
        <v>255</v>
      </c>
      <c r="F12" s="1278"/>
      <c r="G12" s="408"/>
      <c r="H12" s="416" t="s">
        <v>381</v>
      </c>
      <c r="I12" s="417" t="str">
        <f>IF(AND($C$5=1,$C$8+$C$7+$C$6=0,$C$9=1),"ДА","НЕТ")</f>
        <v>НЕТ</v>
      </c>
      <c r="J12" s="328"/>
      <c r="K12" s="322">
        <f t="shared" si="0"/>
        <v>0</v>
      </c>
    </row>
    <row r="13" spans="1:11" ht="12.75" thickBot="1">
      <c r="A13" s="408"/>
      <c r="B13" s="432" t="s">
        <v>358</v>
      </c>
      <c r="C13" s="468">
        <v>0</v>
      </c>
      <c r="D13" s="436" t="s">
        <v>359</v>
      </c>
      <c r="E13" s="437" t="s">
        <v>360</v>
      </c>
      <c r="F13" s="1279"/>
      <c r="G13" s="408"/>
      <c r="H13" s="416" t="s">
        <v>382</v>
      </c>
      <c r="I13" s="417" t="str">
        <f>IF(AND($C$5=1,$C$8+$C$7+$C$6=0,$C$9=3),"ДА","НЕТ")</f>
        <v>НЕТ</v>
      </c>
      <c r="J13" s="328"/>
      <c r="K13" s="322">
        <f t="shared" si="0"/>
        <v>0</v>
      </c>
    </row>
    <row r="14" spans="1:11" ht="12" customHeight="1">
      <c r="A14" s="408"/>
      <c r="B14" s="422" t="s">
        <v>361</v>
      </c>
      <c r="C14" s="465">
        <v>0</v>
      </c>
      <c r="D14" s="423" t="s">
        <v>287</v>
      </c>
      <c r="E14" s="424" t="s">
        <v>255</v>
      </c>
      <c r="F14" s="1246" t="s">
        <v>597</v>
      </c>
      <c r="G14" s="408"/>
      <c r="H14" s="416" t="s">
        <v>383</v>
      </c>
      <c r="I14" s="417" t="str">
        <f>IF(AND($C$7=1,$C$6+$C$8+$C$5=0,$C$9=1),"ДА","НЕТ")</f>
        <v>НЕТ</v>
      </c>
      <c r="J14" s="328"/>
      <c r="K14" s="322">
        <f t="shared" si="0"/>
        <v>0</v>
      </c>
    </row>
    <row r="15" spans="1:11" ht="12">
      <c r="A15" s="408"/>
      <c r="B15" s="420" t="s">
        <v>362</v>
      </c>
      <c r="C15" s="464">
        <v>0</v>
      </c>
      <c r="D15" s="427" t="s">
        <v>287</v>
      </c>
      <c r="E15" s="428" t="s">
        <v>255</v>
      </c>
      <c r="F15" s="1247"/>
      <c r="G15" s="408"/>
      <c r="H15" s="419" t="s">
        <v>384</v>
      </c>
      <c r="I15" s="417" t="str">
        <f>IF(AND($C$7=1,$C$6+$C$8+$C$5=0,$C$9=1),"ДА","НЕТ")</f>
        <v>НЕТ</v>
      </c>
      <c r="J15" s="328"/>
      <c r="K15" s="322">
        <f t="shared" si="0"/>
        <v>0</v>
      </c>
    </row>
    <row r="16" spans="1:11" ht="12">
      <c r="A16" s="408"/>
      <c r="B16" s="420" t="s">
        <v>467</v>
      </c>
      <c r="C16" s="464">
        <v>0</v>
      </c>
      <c r="D16" s="427" t="s">
        <v>287</v>
      </c>
      <c r="E16" s="428" t="s">
        <v>255</v>
      </c>
      <c r="F16" s="1247"/>
      <c r="G16" s="408"/>
      <c r="H16" s="416" t="s">
        <v>388</v>
      </c>
      <c r="I16" s="417" t="str">
        <f>IF(AND($C$7=1,$C$6+$C$8+$C$5=0,$C$9=2),"ДА","НЕТ")</f>
        <v>НЕТ</v>
      </c>
      <c r="J16" s="328"/>
      <c r="K16" s="322">
        <f t="shared" si="0"/>
        <v>0</v>
      </c>
    </row>
    <row r="17" spans="1:11" ht="12.75" thickBot="1">
      <c r="A17" s="408"/>
      <c r="B17" s="493" t="s">
        <v>466</v>
      </c>
      <c r="C17" s="475">
        <v>0</v>
      </c>
      <c r="D17" s="629" t="s">
        <v>287</v>
      </c>
      <c r="E17" s="519" t="s">
        <v>255</v>
      </c>
      <c r="F17" s="1248"/>
      <c r="G17" s="408"/>
      <c r="H17" s="440" t="s">
        <v>389</v>
      </c>
      <c r="I17" s="441" t="str">
        <f>IF(AND($C$7=1,$C$6+$C$8+$C$5=0,$C$9=2),"ДА","НЕТ")</f>
        <v>НЕТ</v>
      </c>
      <c r="J17" s="335"/>
      <c r="K17" s="478">
        <f t="shared" si="0"/>
        <v>0</v>
      </c>
    </row>
    <row r="18" spans="1:11" ht="12.75" thickBot="1">
      <c r="A18" s="408"/>
      <c r="B18" s="639" t="s">
        <v>502</v>
      </c>
      <c r="C18" s="569">
        <v>0</v>
      </c>
      <c r="D18" s="1288" t="s">
        <v>540</v>
      </c>
      <c r="E18" s="1289"/>
      <c r="F18" s="640"/>
      <c r="G18" s="408"/>
      <c r="H18" s="567"/>
      <c r="I18" s="568"/>
      <c r="J18" s="641"/>
      <c r="K18" s="340"/>
    </row>
    <row r="19" spans="1:11" ht="12">
      <c r="A19" s="408"/>
      <c r="B19" s="410" t="s">
        <v>147</v>
      </c>
      <c r="C19" s="467">
        <v>0</v>
      </c>
      <c r="D19" s="1249" t="s">
        <v>686</v>
      </c>
      <c r="E19" s="1250"/>
      <c r="F19" s="1251"/>
      <c r="G19" s="408"/>
      <c r="H19" s="567"/>
      <c r="I19" s="568"/>
      <c r="J19" s="641"/>
      <c r="K19" s="340"/>
    </row>
    <row r="20" spans="1:11" ht="12">
      <c r="A20" s="408"/>
      <c r="B20" s="420" t="s">
        <v>146</v>
      </c>
      <c r="C20" s="464">
        <v>0</v>
      </c>
      <c r="D20" s="1252" t="s">
        <v>687</v>
      </c>
      <c r="E20" s="1253"/>
      <c r="F20" s="1254"/>
      <c r="G20" s="408"/>
      <c r="H20" s="567"/>
      <c r="I20" s="568"/>
      <c r="J20" s="641"/>
      <c r="K20" s="340"/>
    </row>
    <row r="21" spans="1:11" ht="12.75" thickBot="1">
      <c r="A21" s="408"/>
      <c r="B21" s="415" t="s">
        <v>143</v>
      </c>
      <c r="C21" s="466">
        <v>0</v>
      </c>
      <c r="D21" s="1255" t="s">
        <v>688</v>
      </c>
      <c r="E21" s="1256"/>
      <c r="F21" s="1257"/>
      <c r="G21" s="408"/>
      <c r="H21" s="567"/>
      <c r="I21" s="568"/>
      <c r="J21" s="641"/>
      <c r="K21" s="340"/>
    </row>
    <row r="22" spans="1:11" ht="12" thickBot="1">
      <c r="A22" s="408"/>
      <c r="B22" s="642"/>
      <c r="C22" s="607"/>
      <c r="D22" s="438"/>
      <c r="E22" s="438"/>
      <c r="F22" s="444"/>
      <c r="G22" s="408"/>
      <c r="H22" s="643"/>
      <c r="I22" s="643"/>
      <c r="J22" s="643"/>
      <c r="K22" s="643"/>
    </row>
    <row r="23" spans="1:11" ht="12.75">
      <c r="A23" s="408"/>
      <c r="B23" s="447" t="s">
        <v>5</v>
      </c>
      <c r="C23" s="448" t="s">
        <v>0</v>
      </c>
      <c r="D23" s="449" t="s">
        <v>4</v>
      </c>
      <c r="E23" s="450" t="s">
        <v>8</v>
      </c>
      <c r="F23" s="442"/>
      <c r="G23" s="408"/>
      <c r="H23" s="408"/>
      <c r="I23" s="408"/>
      <c r="J23" s="408"/>
      <c r="K23" s="408"/>
    </row>
    <row r="24" spans="1:11">
      <c r="A24" s="408"/>
      <c r="B24" s="452" t="s">
        <v>605</v>
      </c>
      <c r="C24" s="345">
        <f>IF(C17=1,C4*(C10+C11),0)</f>
        <v>0</v>
      </c>
      <c r="D24" s="399"/>
      <c r="E24" s="326">
        <f>C24*D24</f>
        <v>0</v>
      </c>
      <c r="F24" s="442"/>
      <c r="G24" s="408"/>
      <c r="H24" s="408"/>
      <c r="I24" s="408"/>
      <c r="J24" s="408"/>
      <c r="K24" s="408"/>
    </row>
    <row r="25" spans="1:11">
      <c r="A25" s="408"/>
      <c r="B25" s="452" t="s">
        <v>672</v>
      </c>
      <c r="C25" s="345">
        <f>IF(C16=1,C4*(C10+C11),0)</f>
        <v>0</v>
      </c>
      <c r="D25" s="399"/>
      <c r="E25" s="326">
        <f t="shared" ref="E25:E69" si="1">C25*D25</f>
        <v>0</v>
      </c>
      <c r="F25" s="442"/>
      <c r="G25" s="408"/>
      <c r="H25" s="408"/>
      <c r="I25" s="408"/>
      <c r="J25" s="408"/>
      <c r="K25" s="408"/>
    </row>
    <row r="26" spans="1:11">
      <c r="A26" s="408"/>
      <c r="B26" s="452" t="s">
        <v>411</v>
      </c>
      <c r="C26" s="345">
        <f>(C14+C15)*C4*(C10+C11)*2</f>
        <v>0</v>
      </c>
      <c r="D26" s="399"/>
      <c r="E26" s="326">
        <f t="shared" si="1"/>
        <v>0</v>
      </c>
      <c r="F26" s="442"/>
      <c r="G26" s="408"/>
      <c r="H26" s="408"/>
      <c r="I26" s="408"/>
      <c r="J26" s="408"/>
      <c r="K26" s="408"/>
    </row>
    <row r="27" spans="1:11">
      <c r="A27" s="408"/>
      <c r="B27" s="454" t="s">
        <v>447</v>
      </c>
      <c r="C27" s="350">
        <f>IF(C13=0,(C10+C11)*2,0)</f>
        <v>0</v>
      </c>
      <c r="D27" s="356"/>
      <c r="E27" s="572">
        <f t="shared" si="1"/>
        <v>0</v>
      </c>
      <c r="F27" s="442"/>
      <c r="G27" s="408"/>
      <c r="H27" s="408"/>
      <c r="I27" s="408"/>
      <c r="J27" s="408"/>
      <c r="K27" s="408"/>
    </row>
    <row r="28" spans="1:11">
      <c r="A28" s="408"/>
      <c r="B28" s="454" t="s">
        <v>524</v>
      </c>
      <c r="C28" s="350">
        <f>IF(C13=1,(C10+C11)*2,0)</f>
        <v>0</v>
      </c>
      <c r="D28" s="356"/>
      <c r="E28" s="572">
        <f t="shared" si="1"/>
        <v>0</v>
      </c>
      <c r="F28" s="442"/>
      <c r="G28" s="408"/>
      <c r="H28" s="408"/>
      <c r="I28" s="408"/>
      <c r="J28" s="408"/>
      <c r="K28" s="408"/>
    </row>
    <row r="29" spans="1:11">
      <c r="A29" s="408"/>
      <c r="B29" s="454" t="s">
        <v>503</v>
      </c>
      <c r="C29" s="350">
        <f>IF(C13=0,(C4-1+C18)*(C10+C11),0)</f>
        <v>0</v>
      </c>
      <c r="D29" s="356"/>
      <c r="E29" s="572">
        <f t="shared" si="1"/>
        <v>0</v>
      </c>
      <c r="F29" s="442"/>
      <c r="G29" s="408"/>
      <c r="H29" s="408"/>
      <c r="I29" s="408"/>
      <c r="J29" s="408"/>
      <c r="K29" s="408"/>
    </row>
    <row r="30" spans="1:11">
      <c r="A30" s="408"/>
      <c r="B30" s="454" t="s">
        <v>542</v>
      </c>
      <c r="C30" s="350">
        <f>IF(C13=1,(C4-1+C18)*(C10+C11),0)</f>
        <v>0</v>
      </c>
      <c r="D30" s="356"/>
      <c r="E30" s="572">
        <f t="shared" si="1"/>
        <v>0</v>
      </c>
      <c r="F30" s="442"/>
      <c r="G30" s="408"/>
      <c r="H30" s="408"/>
      <c r="I30" s="408"/>
      <c r="J30" s="408"/>
      <c r="K30" s="408"/>
    </row>
    <row r="31" spans="1:11">
      <c r="A31" s="408"/>
      <c r="B31" s="454" t="s">
        <v>607</v>
      </c>
      <c r="C31" s="350">
        <f>IF(AND(C12=0,C13=0),(C10+C11)*2,0)</f>
        <v>0</v>
      </c>
      <c r="D31" s="356"/>
      <c r="E31" s="572">
        <f t="shared" si="1"/>
        <v>0</v>
      </c>
      <c r="F31" s="442"/>
      <c r="G31" s="408"/>
      <c r="H31" s="408"/>
      <c r="I31" s="408"/>
      <c r="J31" s="408"/>
      <c r="K31" s="408"/>
    </row>
    <row r="32" spans="1:11">
      <c r="A32" s="408"/>
      <c r="B32" s="454" t="s">
        <v>609</v>
      </c>
      <c r="C32" s="350">
        <f>IF(AND(C12=0,C13=1),(C10+C11)*2,0)</f>
        <v>0</v>
      </c>
      <c r="D32" s="356"/>
      <c r="E32" s="572">
        <f t="shared" si="1"/>
        <v>0</v>
      </c>
      <c r="F32" s="442"/>
      <c r="G32" s="408"/>
      <c r="H32" s="408"/>
      <c r="I32" s="408"/>
      <c r="J32" s="408"/>
      <c r="K32" s="408"/>
    </row>
    <row r="33" spans="1:11">
      <c r="A33" s="408"/>
      <c r="B33" s="454" t="s">
        <v>609</v>
      </c>
      <c r="C33" s="350">
        <f>IF(AND(C12=1,C13=0),(C10+C11)*2,0)</f>
        <v>0</v>
      </c>
      <c r="D33" s="356"/>
      <c r="E33" s="572">
        <f t="shared" si="1"/>
        <v>0</v>
      </c>
      <c r="F33" s="442"/>
      <c r="G33" s="408"/>
      <c r="H33" s="408"/>
      <c r="I33" s="408"/>
      <c r="J33" s="408"/>
      <c r="K33" s="408"/>
    </row>
    <row r="34" spans="1:11">
      <c r="A34" s="408"/>
      <c r="B34" s="454" t="s">
        <v>614</v>
      </c>
      <c r="C34" s="350">
        <f>IF(AND(C12=1,C13=1),(C10+C11)*2,0)</f>
        <v>0</v>
      </c>
      <c r="D34" s="356"/>
      <c r="E34" s="572">
        <f t="shared" si="1"/>
        <v>0</v>
      </c>
      <c r="F34" s="442"/>
      <c r="G34" s="408"/>
      <c r="H34" s="408"/>
      <c r="I34" s="408"/>
      <c r="J34" s="408"/>
      <c r="K34" s="408"/>
    </row>
    <row r="35" spans="1:11">
      <c r="A35" s="408"/>
      <c r="B35" s="452" t="s">
        <v>474</v>
      </c>
      <c r="C35" s="345">
        <f>C16*C2*(C10+C11)</f>
        <v>0</v>
      </c>
      <c r="D35" s="399"/>
      <c r="E35" s="572">
        <f t="shared" si="1"/>
        <v>0</v>
      </c>
      <c r="F35" s="442"/>
      <c r="G35" s="408"/>
      <c r="H35" s="408"/>
      <c r="I35" s="408"/>
      <c r="J35" s="408"/>
      <c r="K35" s="408"/>
    </row>
    <row r="36" spans="1:11">
      <c r="A36" s="408"/>
      <c r="B36" s="452" t="s">
        <v>474</v>
      </c>
      <c r="C36" s="345">
        <f>C2*C10</f>
        <v>0</v>
      </c>
      <c r="D36" s="399"/>
      <c r="E36" s="572">
        <f t="shared" si="1"/>
        <v>0</v>
      </c>
      <c r="F36" s="442"/>
      <c r="G36" s="408"/>
      <c r="H36" s="408"/>
      <c r="I36" s="408"/>
      <c r="J36" s="408"/>
      <c r="K36" s="408"/>
    </row>
    <row r="37" spans="1:11">
      <c r="A37" s="408"/>
      <c r="B37" s="452" t="s">
        <v>363</v>
      </c>
      <c r="C37" s="345">
        <f>C15*C2*2*(C10+C11)</f>
        <v>0</v>
      </c>
      <c r="D37" s="399"/>
      <c r="E37" s="572">
        <f t="shared" si="1"/>
        <v>0</v>
      </c>
      <c r="F37" s="348"/>
      <c r="G37" s="408"/>
      <c r="H37" s="408"/>
      <c r="I37" s="408"/>
      <c r="J37" s="408"/>
      <c r="K37" s="408"/>
    </row>
    <row r="38" spans="1:11">
      <c r="A38" s="408"/>
      <c r="B38" s="452" t="s">
        <v>479</v>
      </c>
      <c r="C38" s="345">
        <f>EVEN(ROUNDDOWN(IF(C12=1,(C12*C2*(C10+C11))/0.5,0),0))</f>
        <v>0</v>
      </c>
      <c r="D38" s="399"/>
      <c r="E38" s="572">
        <f t="shared" si="1"/>
        <v>0</v>
      </c>
      <c r="F38" s="442"/>
      <c r="G38" s="408"/>
      <c r="H38" s="408"/>
      <c r="I38" s="408"/>
      <c r="J38" s="408"/>
      <c r="K38" s="408"/>
    </row>
    <row r="39" spans="1:11">
      <c r="A39" s="408"/>
      <c r="B39" s="454" t="s">
        <v>368</v>
      </c>
      <c r="C39" s="350">
        <f>(C27+C28+C29+C30)*2</f>
        <v>0</v>
      </c>
      <c r="D39" s="556"/>
      <c r="E39" s="572">
        <f t="shared" si="1"/>
        <v>0</v>
      </c>
      <c r="F39" s="442"/>
      <c r="G39" s="408"/>
      <c r="H39" s="408"/>
      <c r="I39" s="408"/>
      <c r="J39" s="408"/>
      <c r="K39" s="408"/>
    </row>
    <row r="40" spans="1:11">
      <c r="A40" s="408"/>
      <c r="B40" s="454" t="s">
        <v>118</v>
      </c>
      <c r="C40" s="350">
        <f>C17*C2*(C10+C11)</f>
        <v>0</v>
      </c>
      <c r="D40" s="356"/>
      <c r="E40" s="572">
        <f t="shared" si="1"/>
        <v>0</v>
      </c>
      <c r="F40" s="442"/>
      <c r="G40" s="408"/>
      <c r="H40" s="408"/>
      <c r="I40" s="408"/>
      <c r="J40" s="408"/>
      <c r="K40" s="408"/>
    </row>
    <row r="41" spans="1:11">
      <c r="A41" s="408"/>
      <c r="B41" s="454" t="s">
        <v>616</v>
      </c>
      <c r="C41" s="350">
        <f>C17*C2*(C10+C11)</f>
        <v>0</v>
      </c>
      <c r="D41" s="356"/>
      <c r="E41" s="572">
        <f t="shared" si="1"/>
        <v>0</v>
      </c>
      <c r="F41" s="442"/>
      <c r="G41" s="408"/>
      <c r="H41" s="408"/>
      <c r="I41" s="408"/>
      <c r="J41" s="408"/>
      <c r="K41" s="408"/>
    </row>
    <row r="42" spans="1:11">
      <c r="A42" s="408"/>
      <c r="B42" s="454" t="s">
        <v>467</v>
      </c>
      <c r="C42" s="350">
        <f>C16*C2*(C10+C11)</f>
        <v>0</v>
      </c>
      <c r="D42" s="356"/>
      <c r="E42" s="572">
        <f t="shared" si="1"/>
        <v>0</v>
      </c>
      <c r="F42" s="442"/>
      <c r="G42" s="408"/>
      <c r="H42" s="408"/>
      <c r="I42" s="408"/>
      <c r="J42" s="408"/>
      <c r="K42" s="408"/>
    </row>
    <row r="43" spans="1:11">
      <c r="A43" s="408"/>
      <c r="B43" s="454" t="s">
        <v>364</v>
      </c>
      <c r="C43" s="350">
        <f>C14*C2*(C10+C11)</f>
        <v>0</v>
      </c>
      <c r="D43" s="556"/>
      <c r="E43" s="572">
        <f t="shared" si="1"/>
        <v>0</v>
      </c>
      <c r="F43" s="348"/>
      <c r="G43" s="408"/>
      <c r="H43" s="408"/>
      <c r="I43" s="408"/>
      <c r="J43" s="408"/>
      <c r="K43" s="408"/>
    </row>
    <row r="44" spans="1:11">
      <c r="A44" s="408"/>
      <c r="B44" s="454" t="s">
        <v>365</v>
      </c>
      <c r="C44" s="350">
        <f>C15*C2*(C10+C11)</f>
        <v>0</v>
      </c>
      <c r="D44" s="556"/>
      <c r="E44" s="572">
        <f t="shared" si="1"/>
        <v>0</v>
      </c>
      <c r="F44" s="348"/>
      <c r="G44" s="408"/>
      <c r="H44" s="408"/>
      <c r="I44" s="408"/>
      <c r="J44" s="408"/>
      <c r="K44" s="408"/>
    </row>
    <row r="45" spans="1:11">
      <c r="A45" s="408"/>
      <c r="B45" s="452" t="s">
        <v>451</v>
      </c>
      <c r="C45" s="345">
        <f>C2*C10</f>
        <v>0</v>
      </c>
      <c r="D45" s="399"/>
      <c r="E45" s="572">
        <f t="shared" si="1"/>
        <v>0</v>
      </c>
      <c r="F45" s="442"/>
      <c r="G45" s="408"/>
      <c r="H45" s="408"/>
      <c r="I45" s="408"/>
      <c r="J45" s="408"/>
      <c r="K45" s="408"/>
    </row>
    <row r="46" spans="1:11">
      <c r="A46" s="408"/>
      <c r="B46" s="452" t="s">
        <v>450</v>
      </c>
      <c r="C46" s="345">
        <f>C2*C11</f>
        <v>0</v>
      </c>
      <c r="D46" s="399"/>
      <c r="E46" s="572">
        <f>C46*D46</f>
        <v>0</v>
      </c>
      <c r="F46" s="442"/>
      <c r="G46" s="408"/>
      <c r="H46" s="408"/>
      <c r="I46" s="408"/>
      <c r="J46" s="408"/>
      <c r="K46" s="408"/>
    </row>
    <row r="47" spans="1:11">
      <c r="A47" s="408"/>
      <c r="B47" s="452" t="s">
        <v>366</v>
      </c>
      <c r="C47" s="345">
        <f>(C11+C10)*C12*C2</f>
        <v>0</v>
      </c>
      <c r="D47" s="356"/>
      <c r="E47" s="347">
        <f>C47*D47</f>
        <v>0</v>
      </c>
      <c r="F47" s="442"/>
      <c r="G47" s="408"/>
      <c r="H47" s="408"/>
      <c r="I47" s="408"/>
      <c r="J47" s="408"/>
      <c r="K47" s="408"/>
    </row>
    <row r="48" spans="1:11">
      <c r="A48" s="408"/>
      <c r="B48" s="452" t="s">
        <v>724</v>
      </c>
      <c r="C48" s="345">
        <f>C11*((C4*2)-2)</f>
        <v>0</v>
      </c>
      <c r="D48" s="356"/>
      <c r="E48" s="347">
        <v>0</v>
      </c>
      <c r="F48" s="442"/>
      <c r="G48" s="408"/>
      <c r="H48" s="408"/>
      <c r="I48" s="408"/>
      <c r="J48" s="408"/>
      <c r="K48" s="408"/>
    </row>
    <row r="49" spans="1:11">
      <c r="A49" s="408"/>
      <c r="B49" s="454" t="s">
        <v>367</v>
      </c>
      <c r="C49" s="350">
        <f>C10</f>
        <v>0</v>
      </c>
      <c r="D49" s="356"/>
      <c r="E49" s="572">
        <f t="shared" si="1"/>
        <v>0</v>
      </c>
      <c r="F49" s="442"/>
      <c r="G49" s="408"/>
      <c r="H49" s="408"/>
      <c r="I49" s="408"/>
      <c r="J49" s="408"/>
      <c r="K49" s="408"/>
    </row>
    <row r="50" spans="1:11">
      <c r="A50" s="408"/>
      <c r="B50" s="454" t="s">
        <v>470</v>
      </c>
      <c r="C50" s="350">
        <f>C11</f>
        <v>0</v>
      </c>
      <c r="D50" s="356"/>
      <c r="E50" s="572">
        <f>C50*D50</f>
        <v>0</v>
      </c>
      <c r="F50" s="442"/>
      <c r="G50" s="408"/>
      <c r="H50" s="408"/>
      <c r="I50" s="408"/>
      <c r="J50" s="408"/>
      <c r="K50" s="408"/>
    </row>
    <row r="51" spans="1:11">
      <c r="A51" s="408"/>
      <c r="B51" s="454" t="s">
        <v>504</v>
      </c>
      <c r="C51" s="350">
        <f>(C4-1)*(C10+C11)</f>
        <v>0</v>
      </c>
      <c r="D51" s="356">
        <v>1</v>
      </c>
      <c r="E51" s="572">
        <f t="shared" si="1"/>
        <v>0</v>
      </c>
      <c r="F51" s="442"/>
      <c r="G51" s="408"/>
      <c r="H51" s="408"/>
      <c r="I51" s="408"/>
      <c r="J51" s="408"/>
      <c r="K51" s="408"/>
    </row>
    <row r="52" spans="1:11">
      <c r="A52" s="408"/>
      <c r="B52" s="454" t="s">
        <v>505</v>
      </c>
      <c r="C52" s="350">
        <f>(C4-1)*(C10+C11)</f>
        <v>0</v>
      </c>
      <c r="D52" s="356"/>
      <c r="E52" s="572">
        <f t="shared" si="1"/>
        <v>0</v>
      </c>
      <c r="F52" s="442"/>
      <c r="G52" s="408"/>
      <c r="H52" s="408"/>
      <c r="I52" s="408"/>
      <c r="J52" s="408"/>
      <c r="K52" s="408"/>
    </row>
    <row r="53" spans="1:11">
      <c r="A53" s="408"/>
      <c r="B53" s="454" t="s">
        <v>828</v>
      </c>
      <c r="C53" s="350">
        <f>C10+C11</f>
        <v>0</v>
      </c>
      <c r="D53" s="356"/>
      <c r="E53" s="572">
        <f t="shared" si="1"/>
        <v>0</v>
      </c>
      <c r="F53" s="442"/>
      <c r="G53" s="408"/>
      <c r="H53" s="408"/>
      <c r="I53" s="408"/>
      <c r="J53" s="408"/>
      <c r="K53" s="408"/>
    </row>
    <row r="54" spans="1:11">
      <c r="A54" s="408"/>
      <c r="B54" s="455" t="s">
        <v>506</v>
      </c>
      <c r="C54" s="402">
        <f>(C4-1+C18)*(C10+C11)</f>
        <v>0</v>
      </c>
      <c r="D54" s="356"/>
      <c r="E54" s="572">
        <f t="shared" si="1"/>
        <v>0</v>
      </c>
      <c r="F54" s="442"/>
      <c r="G54" s="526"/>
      <c r="H54" s="408"/>
      <c r="I54" s="408"/>
      <c r="J54" s="408"/>
      <c r="K54" s="408"/>
    </row>
    <row r="55" spans="1:11" ht="11.25" customHeight="1">
      <c r="A55" s="408"/>
      <c r="B55" s="455" t="s">
        <v>507</v>
      </c>
      <c r="C55" s="402">
        <f>(C4-1+C18)*(C10+C11)</f>
        <v>0</v>
      </c>
      <c r="D55" s="356"/>
      <c r="E55" s="572">
        <f t="shared" si="1"/>
        <v>0</v>
      </c>
      <c r="F55" s="442"/>
      <c r="G55" s="408"/>
      <c r="H55" s="408"/>
      <c r="I55" s="408"/>
      <c r="J55" s="408"/>
      <c r="K55" s="408"/>
    </row>
    <row r="56" spans="1:11" ht="11.25" customHeight="1">
      <c r="A56" s="408"/>
      <c r="B56" s="455" t="s">
        <v>508</v>
      </c>
      <c r="C56" s="402">
        <f>C18*(C10+C11)</f>
        <v>0</v>
      </c>
      <c r="D56" s="356"/>
      <c r="E56" s="572">
        <f t="shared" si="1"/>
        <v>0</v>
      </c>
      <c r="F56" s="442"/>
      <c r="G56" s="408"/>
      <c r="H56" s="408"/>
      <c r="I56" s="408"/>
      <c r="J56" s="408"/>
      <c r="K56" s="408"/>
    </row>
    <row r="57" spans="1:11" ht="11.25" customHeight="1">
      <c r="A57" s="408"/>
      <c r="B57" s="455" t="s">
        <v>454</v>
      </c>
      <c r="C57" s="402">
        <f>(C5+C6)*C10</f>
        <v>0</v>
      </c>
      <c r="D57" s="356"/>
      <c r="E57" s="572">
        <f t="shared" si="1"/>
        <v>0</v>
      </c>
      <c r="F57" s="442"/>
      <c r="G57" s="408"/>
      <c r="H57" s="408"/>
      <c r="I57" s="408"/>
      <c r="J57" s="408"/>
      <c r="K57" s="408"/>
    </row>
    <row r="58" spans="1:11" ht="11.25" customHeight="1">
      <c r="A58" s="408"/>
      <c r="B58" s="455" t="s">
        <v>375</v>
      </c>
      <c r="C58" s="402">
        <f>C6*C10</f>
        <v>0</v>
      </c>
      <c r="D58" s="356"/>
      <c r="E58" s="572">
        <f t="shared" si="1"/>
        <v>0</v>
      </c>
      <c r="F58" s="442"/>
      <c r="G58" s="408"/>
      <c r="H58" s="408"/>
      <c r="I58" s="408"/>
      <c r="J58" s="408"/>
      <c r="K58" s="408"/>
    </row>
    <row r="59" spans="1:11" ht="11.25" customHeight="1">
      <c r="A59" s="408"/>
      <c r="B59" s="455" t="s">
        <v>495</v>
      </c>
      <c r="C59" s="402">
        <f>C6*C10</f>
        <v>0</v>
      </c>
      <c r="D59" s="356"/>
      <c r="E59" s="572">
        <f t="shared" si="1"/>
        <v>0</v>
      </c>
      <c r="F59" s="442"/>
      <c r="G59" s="408"/>
      <c r="H59" s="408"/>
      <c r="I59" s="408"/>
      <c r="J59" s="408"/>
      <c r="K59" s="408"/>
    </row>
    <row r="60" spans="1:11" ht="11.25" customHeight="1">
      <c r="A60" s="408"/>
      <c r="B60" s="455" t="s">
        <v>380</v>
      </c>
      <c r="C60" s="402">
        <f>C5*C10</f>
        <v>0</v>
      </c>
      <c r="D60" s="356"/>
      <c r="E60" s="572">
        <f t="shared" si="1"/>
        <v>0</v>
      </c>
      <c r="F60" s="442"/>
      <c r="G60" s="408"/>
      <c r="H60" s="408"/>
      <c r="I60" s="408"/>
      <c r="J60" s="408"/>
      <c r="K60" s="408"/>
    </row>
    <row r="61" spans="1:11" ht="11.25" customHeight="1">
      <c r="A61" s="408"/>
      <c r="B61" s="455" t="s">
        <v>378</v>
      </c>
      <c r="C61" s="402">
        <f>C11*C8</f>
        <v>0</v>
      </c>
      <c r="D61" s="356"/>
      <c r="E61" s="403">
        <f t="shared" si="1"/>
        <v>0</v>
      </c>
      <c r="F61" s="442"/>
      <c r="G61" s="408"/>
      <c r="H61" s="408"/>
      <c r="I61" s="408"/>
      <c r="J61" s="408"/>
      <c r="K61" s="408"/>
    </row>
    <row r="62" spans="1:11" ht="11.25" customHeight="1">
      <c r="A62" s="408"/>
      <c r="B62" s="455" t="s">
        <v>386</v>
      </c>
      <c r="C62" s="402">
        <f>C11*C7</f>
        <v>0</v>
      </c>
      <c r="D62" s="356"/>
      <c r="E62" s="403">
        <f t="shared" si="1"/>
        <v>0</v>
      </c>
      <c r="F62" s="442"/>
      <c r="G62" s="408"/>
      <c r="H62" s="408"/>
      <c r="I62" s="408"/>
      <c r="J62" s="408"/>
      <c r="K62" s="408"/>
    </row>
    <row r="63" spans="1:11" ht="11.25" customHeight="1">
      <c r="A63" s="408"/>
      <c r="B63" s="455" t="s">
        <v>387</v>
      </c>
      <c r="C63" s="402">
        <f>C11*C7</f>
        <v>0</v>
      </c>
      <c r="D63" s="356"/>
      <c r="E63" s="403">
        <f t="shared" si="1"/>
        <v>0</v>
      </c>
      <c r="F63" s="442"/>
      <c r="G63" s="408"/>
      <c r="H63" s="408"/>
      <c r="I63" s="408"/>
      <c r="J63" s="408"/>
      <c r="K63" s="408"/>
    </row>
    <row r="64" spans="1:11" ht="11.25" customHeight="1">
      <c r="A64" s="408"/>
      <c r="B64" s="455" t="s">
        <v>377</v>
      </c>
      <c r="C64" s="402">
        <f>C11*C8</f>
        <v>0</v>
      </c>
      <c r="D64" s="356"/>
      <c r="E64" s="403">
        <f t="shared" si="1"/>
        <v>0</v>
      </c>
      <c r="F64" s="442"/>
      <c r="G64" s="408"/>
      <c r="H64" s="408"/>
      <c r="I64" s="408"/>
      <c r="J64" s="408"/>
      <c r="K64" s="408"/>
    </row>
    <row r="65" spans="1:11" ht="11.25" customHeight="1">
      <c r="A65" s="408"/>
      <c r="B65" s="454" t="s">
        <v>480</v>
      </c>
      <c r="C65" s="350">
        <f>C11*C2</f>
        <v>0</v>
      </c>
      <c r="D65" s="356"/>
      <c r="E65" s="347">
        <f t="shared" si="1"/>
        <v>0</v>
      </c>
      <c r="F65" s="442"/>
      <c r="G65" s="408"/>
      <c r="H65" s="408"/>
      <c r="I65" s="408"/>
      <c r="J65" s="408"/>
      <c r="K65" s="408"/>
    </row>
    <row r="66" spans="1:11" ht="11.25" customHeight="1">
      <c r="A66" s="408"/>
      <c r="B66" s="528" t="s">
        <v>145</v>
      </c>
      <c r="C66" s="509">
        <f>C20</f>
        <v>0</v>
      </c>
      <c r="D66" s="525"/>
      <c r="E66" s="403">
        <f t="shared" si="1"/>
        <v>0</v>
      </c>
      <c r="F66" s="442"/>
      <c r="G66" s="408"/>
      <c r="H66" s="408"/>
      <c r="I66" s="408"/>
      <c r="J66" s="408"/>
      <c r="K66" s="408"/>
    </row>
    <row r="67" spans="1:11" ht="11.25" customHeight="1">
      <c r="A67" s="408"/>
      <c r="B67" s="528" t="s">
        <v>148</v>
      </c>
      <c r="C67" s="509">
        <f>C19</f>
        <v>0</v>
      </c>
      <c r="D67" s="525"/>
      <c r="E67" s="403">
        <f t="shared" si="1"/>
        <v>0</v>
      </c>
      <c r="F67" s="442"/>
      <c r="G67" s="408"/>
      <c r="H67" s="408"/>
      <c r="I67" s="408"/>
      <c r="J67" s="408"/>
      <c r="K67" s="408"/>
    </row>
    <row r="68" spans="1:11" ht="11.25" customHeight="1">
      <c r="A68" s="408"/>
      <c r="B68" s="528" t="s">
        <v>689</v>
      </c>
      <c r="C68" s="509">
        <f>C21</f>
        <v>0</v>
      </c>
      <c r="D68" s="525"/>
      <c r="E68" s="403">
        <f t="shared" si="1"/>
        <v>0</v>
      </c>
      <c r="F68" s="442"/>
      <c r="G68" s="408"/>
      <c r="H68" s="408"/>
      <c r="I68" s="408"/>
      <c r="J68" s="408"/>
      <c r="K68" s="408"/>
    </row>
    <row r="69" spans="1:11" ht="11.25" customHeight="1" thickBot="1">
      <c r="A69" s="408"/>
      <c r="B69" s="457" t="s">
        <v>829</v>
      </c>
      <c r="C69" s="405">
        <f>C5*C10</f>
        <v>0</v>
      </c>
      <c r="D69" s="476"/>
      <c r="E69" s="573">
        <f t="shared" si="1"/>
        <v>0</v>
      </c>
      <c r="F69" s="456"/>
      <c r="G69" s="408"/>
      <c r="H69" s="408"/>
      <c r="I69" s="408"/>
      <c r="J69" s="408"/>
      <c r="K69" s="408"/>
    </row>
    <row r="70" spans="1:11" ht="11.25" customHeight="1" thickBot="1">
      <c r="A70" s="408"/>
      <c r="B70" s="442"/>
      <c r="C70" s="442"/>
      <c r="D70" s="458" t="s">
        <v>9</v>
      </c>
      <c r="E70" s="644">
        <f>SUMIF(E24:E69,"&gt;0",E24:E69)</f>
        <v>0</v>
      </c>
      <c r="F70" s="645"/>
      <c r="G70" s="408"/>
      <c r="H70" s="408"/>
      <c r="I70" s="408"/>
      <c r="J70" s="408"/>
      <c r="K70" s="408"/>
    </row>
    <row r="71" spans="1:11" ht="11.25" customHeight="1">
      <c r="A71" s="408"/>
      <c r="B71" s="442"/>
      <c r="C71" s="442"/>
      <c r="D71" s="442"/>
      <c r="E71" s="442"/>
      <c r="F71" s="645"/>
      <c r="G71" s="408"/>
      <c r="H71" s="408"/>
      <c r="I71" s="408"/>
      <c r="J71" s="408"/>
      <c r="K71" s="408"/>
    </row>
    <row r="72" spans="1:11" ht="11.25" customHeight="1">
      <c r="A72" s="408"/>
      <c r="B72" s="442"/>
      <c r="C72" s="442"/>
      <c r="D72" s="442"/>
      <c r="E72" s="442"/>
      <c r="F72" s="645"/>
      <c r="G72" s="408"/>
      <c r="H72" s="408"/>
      <c r="I72" s="408"/>
      <c r="J72" s="408"/>
      <c r="K72" s="408"/>
    </row>
    <row r="73" spans="1:11" ht="11.25" customHeight="1">
      <c r="A73" s="408"/>
      <c r="B73" s="408"/>
      <c r="C73" s="408"/>
      <c r="D73" s="408"/>
      <c r="E73" s="408"/>
      <c r="F73" s="646"/>
      <c r="G73" s="408"/>
      <c r="H73" s="408"/>
      <c r="I73" s="408"/>
      <c r="J73" s="408"/>
      <c r="K73" s="408"/>
    </row>
    <row r="74" spans="1:11" ht="11.25" customHeight="1">
      <c r="A74" s="408"/>
      <c r="B74" s="408"/>
      <c r="C74" s="408"/>
      <c r="D74" s="408"/>
      <c r="E74" s="408"/>
      <c r="F74" s="646"/>
      <c r="G74" s="408"/>
      <c r="H74" s="408"/>
      <c r="I74" s="408"/>
      <c r="J74" s="408"/>
      <c r="K74" s="408"/>
    </row>
    <row r="75" spans="1:11">
      <c r="A75" s="408"/>
      <c r="B75" s="408"/>
      <c r="C75" s="408"/>
      <c r="D75" s="408"/>
      <c r="E75" s="408"/>
      <c r="F75" s="646"/>
      <c r="G75" s="408"/>
      <c r="H75" s="408"/>
      <c r="I75" s="408"/>
      <c r="J75" s="408"/>
      <c r="K75" s="408"/>
    </row>
    <row r="76" spans="1:11">
      <c r="A76" s="408"/>
      <c r="B76" s="408"/>
      <c r="C76" s="408"/>
      <c r="D76" s="408"/>
      <c r="E76" s="408"/>
      <c r="F76" s="646"/>
      <c r="G76" s="408"/>
      <c r="H76" s="408"/>
      <c r="I76" s="408"/>
      <c r="J76" s="408"/>
      <c r="K76" s="408"/>
    </row>
    <row r="77" spans="1:11">
      <c r="A77" s="408"/>
      <c r="B77" s="408"/>
      <c r="C77" s="408"/>
      <c r="D77" s="408"/>
      <c r="E77" s="408"/>
      <c r="F77" s="646"/>
      <c r="G77" s="408"/>
      <c r="H77" s="408"/>
      <c r="I77" s="408"/>
      <c r="J77" s="408"/>
      <c r="K77" s="408"/>
    </row>
    <row r="78" spans="1:11" ht="12.75" customHeight="1">
      <c r="A78" s="408"/>
      <c r="B78" s="408"/>
      <c r="C78" s="408"/>
      <c r="D78" s="408"/>
      <c r="E78" s="408"/>
      <c r="F78" s="646"/>
      <c r="G78" s="408"/>
      <c r="H78" s="408"/>
      <c r="I78" s="408"/>
      <c r="J78" s="408"/>
      <c r="K78" s="408"/>
    </row>
  </sheetData>
  <sheetProtection algorithmName="SHA-512" hashValue="9bmGfnODfPXiaJpnPJjHzH12htPVTs1LHPC+F+kJ8AO5Ey1QlBITDXs+bLPWYkfvzAQfQXnenc4Dt6A2wRymoQ==" saltValue="2wGHR/hKmR+i3Y5tuDcKCg==" spinCount="100000" sheet="1"/>
  <mergeCells count="11">
    <mergeCell ref="B1:E1"/>
    <mergeCell ref="D18:E18"/>
    <mergeCell ref="D2:F3"/>
    <mergeCell ref="D4:F4"/>
    <mergeCell ref="F5:F8"/>
    <mergeCell ref="D19:F19"/>
    <mergeCell ref="D20:F20"/>
    <mergeCell ref="D21:F21"/>
    <mergeCell ref="D10:F11"/>
    <mergeCell ref="F14:F17"/>
    <mergeCell ref="F12:F13"/>
  </mergeCells>
  <conditionalFormatting sqref="C9">
    <cfRule type="cellIs" dxfId="519" priority="30" operator="greaterThan">
      <formula>0</formula>
    </cfRule>
  </conditionalFormatting>
  <conditionalFormatting sqref="C9">
    <cfRule type="cellIs" dxfId="518" priority="31" operator="greaterThan">
      <formula>0</formula>
    </cfRule>
  </conditionalFormatting>
  <conditionalFormatting sqref="I18:I21">
    <cfRule type="cellIs" dxfId="517" priority="22" operator="equal">
      <formula>"ДА"</formula>
    </cfRule>
    <cfRule type="cellIs" dxfId="516" priority="23" operator="equal">
      <formula>"НЕТ"</formula>
    </cfRule>
  </conditionalFormatting>
  <conditionalFormatting sqref="I18:I21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18:K21">
    <cfRule type="cellIs" dxfId="515" priority="33" operator="greaterThan">
      <formula>0</formula>
    </cfRule>
  </conditionalFormatting>
  <conditionalFormatting sqref="C62:E63">
    <cfRule type="cellIs" dxfId="514" priority="16" operator="greaterThan">
      <formula>0</formula>
    </cfRule>
  </conditionalFormatting>
  <conditionalFormatting sqref="C61:E61">
    <cfRule type="cellIs" dxfId="513" priority="17" operator="greaterThan">
      <formula>0</formula>
    </cfRule>
  </conditionalFormatting>
  <conditionalFormatting sqref="J3:K17">
    <cfRule type="cellIs" dxfId="512" priority="8" operator="greaterThan">
      <formula>0</formula>
    </cfRule>
    <cfRule type="cellIs" dxfId="511" priority="11" operator="greaterThan">
      <formula>0</formula>
    </cfRule>
  </conditionalFormatting>
  <conditionalFormatting sqref="C64:E64">
    <cfRule type="cellIs" dxfId="510" priority="15" operator="greaterThan">
      <formula>0</formula>
    </cfRule>
  </conditionalFormatting>
  <conditionalFormatting sqref="I3:I17">
    <cfRule type="cellIs" dxfId="509" priority="12" operator="equal">
      <formula>"НЕТ"</formula>
    </cfRule>
    <cfRule type="cellIs" dxfId="508" priority="34" operator="equal">
      <formula>"ДА"</formula>
    </cfRule>
  </conditionalFormatting>
  <conditionalFormatting sqref="I3:I17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8">
    <cfRule type="cellIs" dxfId="507" priority="10" operator="greaterThan">
      <formula>0</formula>
    </cfRule>
  </conditionalFormatting>
  <conditionalFormatting sqref="C24:E46 C69:E69 C49:E64">
    <cfRule type="cellIs" dxfId="506" priority="5" operator="greaterThan">
      <formula>0</formula>
    </cfRule>
    <cfRule type="cellIs" dxfId="505" priority="6" operator="greaterThan">
      <formula>0</formula>
    </cfRule>
    <cfRule type="cellIs" dxfId="504" priority="9" operator="greaterThan">
      <formula>0</formula>
    </cfRule>
  </conditionalFormatting>
  <conditionalFormatting sqref="E70">
    <cfRule type="cellIs" dxfId="503" priority="7" operator="greaterThan">
      <formula>0</formula>
    </cfRule>
  </conditionalFormatting>
  <conditionalFormatting sqref="C65:E65">
    <cfRule type="cellIs" dxfId="502" priority="4" operator="greaterThan">
      <formula>0</formula>
    </cfRule>
  </conditionalFormatting>
  <conditionalFormatting sqref="C47:E48">
    <cfRule type="cellIs" dxfId="501" priority="3" operator="greaterThan">
      <formula>0</formula>
    </cfRule>
  </conditionalFormatting>
  <conditionalFormatting sqref="C19:C21">
    <cfRule type="cellIs" dxfId="500" priority="2" operator="greaterThan">
      <formula>0</formula>
    </cfRule>
  </conditionalFormatting>
  <conditionalFormatting sqref="C66:E68">
    <cfRule type="cellIs" dxfId="499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:L74"/>
  <sheetViews>
    <sheetView workbookViewId="0">
      <pane ySplit="21" topLeftCell="A49" activePane="bottomLeft" state="frozen"/>
      <selection pane="bottomLeft" activeCell="D49" sqref="D49"/>
    </sheetView>
  </sheetViews>
  <sheetFormatPr defaultRowHeight="11.25"/>
  <cols>
    <col min="2" max="2" width="54.6640625" customWidth="1"/>
    <col min="4" max="4" width="11.83203125" customWidth="1"/>
    <col min="5" max="5" width="12" customWidth="1"/>
    <col min="6" max="6" width="20.83203125" customWidth="1"/>
    <col min="7" max="7" width="3.33203125" customWidth="1"/>
    <col min="8" max="8" width="46.5" customWidth="1"/>
    <col min="9" max="9" width="4.5" customWidth="1"/>
  </cols>
  <sheetData>
    <row r="1" spans="1:12" ht="54" customHeight="1" thickBot="1">
      <c r="A1" s="408"/>
      <c r="B1" s="1293"/>
      <c r="C1" s="1294"/>
      <c r="D1" s="1294"/>
      <c r="E1" s="1294"/>
      <c r="F1" s="408"/>
      <c r="G1" s="408"/>
      <c r="H1" s="408"/>
      <c r="I1" s="408"/>
      <c r="J1" s="408"/>
      <c r="K1" s="408"/>
      <c r="L1" s="408"/>
    </row>
    <row r="2" spans="1:12" ht="12.75" customHeight="1" thickBot="1">
      <c r="A2" s="408"/>
      <c r="B2" s="410" t="s">
        <v>666</v>
      </c>
      <c r="C2" s="461">
        <v>0</v>
      </c>
      <c r="D2" s="1238" t="s">
        <v>595</v>
      </c>
      <c r="E2" s="1239"/>
      <c r="F2" s="1240"/>
      <c r="G2" s="442"/>
      <c r="H2" s="412" t="s">
        <v>485</v>
      </c>
      <c r="I2" s="413" t="s">
        <v>604</v>
      </c>
      <c r="J2" s="479" t="s">
        <v>4</v>
      </c>
      <c r="K2" s="480" t="s">
        <v>8</v>
      </c>
      <c r="L2" s="408"/>
    </row>
    <row r="3" spans="1:12" ht="12.75" thickBot="1">
      <c r="A3" s="408"/>
      <c r="B3" s="415" t="s">
        <v>667</v>
      </c>
      <c r="C3" s="462">
        <v>0</v>
      </c>
      <c r="D3" s="1241"/>
      <c r="E3" s="1242"/>
      <c r="F3" s="1243"/>
      <c r="G3" s="442"/>
      <c r="H3" s="416" t="s">
        <v>372</v>
      </c>
      <c r="I3" s="417" t="str">
        <f>IF(AND($C$6=1,$C$5+$C$7+$C$8=0,$C$9=2),"ДА","НЕТ")</f>
        <v>НЕТ</v>
      </c>
      <c r="J3" s="321"/>
      <c r="K3" s="322">
        <f>IF(I3="ДА",($C$14+$C$15)*J3,0)</f>
        <v>0</v>
      </c>
      <c r="L3" s="408"/>
    </row>
    <row r="4" spans="1:12" ht="12.75" thickBot="1">
      <c r="A4" s="408"/>
      <c r="B4" s="432" t="s">
        <v>127</v>
      </c>
      <c r="C4" s="569">
        <v>0</v>
      </c>
      <c r="D4" s="1290" t="s">
        <v>128</v>
      </c>
      <c r="E4" s="1291"/>
      <c r="F4" s="1292"/>
      <c r="G4" s="442"/>
      <c r="H4" s="419" t="s">
        <v>373</v>
      </c>
      <c r="I4" s="417" t="str">
        <f>IF(AND($C$6=1,$C$5+$C$7+$C$8=0,$C$9=2),"ДА","НЕТ")</f>
        <v>НЕТ</v>
      </c>
      <c r="J4" s="398"/>
      <c r="K4" s="322">
        <f t="shared" ref="K4:K17" si="0">IF(I4="ДА",($C$14+$C$15)*J4,0)</f>
        <v>0</v>
      </c>
      <c r="L4" s="408"/>
    </row>
    <row r="5" spans="1:12" ht="11.25" customHeight="1">
      <c r="A5" s="408"/>
      <c r="B5" s="410" t="s">
        <v>492</v>
      </c>
      <c r="C5" s="467">
        <v>0</v>
      </c>
      <c r="D5" s="423" t="s">
        <v>287</v>
      </c>
      <c r="E5" s="423" t="s">
        <v>255</v>
      </c>
      <c r="F5" s="1247" t="s">
        <v>597</v>
      </c>
      <c r="G5" s="442"/>
      <c r="H5" s="419" t="s">
        <v>374</v>
      </c>
      <c r="I5" s="417" t="str">
        <f>IF(AND($C$6=1,$C$5+$C$7+$C$8=0,$C$9=2),"ДА","НЕТ")</f>
        <v>НЕТ</v>
      </c>
      <c r="J5" s="398"/>
      <c r="K5" s="322">
        <f t="shared" si="0"/>
        <v>0</v>
      </c>
      <c r="L5" s="408"/>
    </row>
    <row r="6" spans="1:12" ht="12">
      <c r="A6" s="408"/>
      <c r="B6" s="420" t="s">
        <v>490</v>
      </c>
      <c r="C6" s="464">
        <v>0</v>
      </c>
      <c r="D6" s="427" t="s">
        <v>287</v>
      </c>
      <c r="E6" s="427" t="s">
        <v>255</v>
      </c>
      <c r="F6" s="1247"/>
      <c r="G6" s="442"/>
      <c r="H6" s="421" t="s">
        <v>376</v>
      </c>
      <c r="I6" s="417" t="str">
        <f>IF(AND($C$6=1,$C$5+$C$7+$C$8=0,$C$9=3),"ДА","НЕТ")</f>
        <v>НЕТ</v>
      </c>
      <c r="J6" s="325"/>
      <c r="K6" s="322">
        <f t="shared" si="0"/>
        <v>0</v>
      </c>
      <c r="L6" s="408"/>
    </row>
    <row r="7" spans="1:12" ht="12">
      <c r="A7" s="408"/>
      <c r="B7" s="420" t="s">
        <v>493</v>
      </c>
      <c r="C7" s="464">
        <v>0</v>
      </c>
      <c r="D7" s="427" t="s">
        <v>287</v>
      </c>
      <c r="E7" s="427" t="s">
        <v>255</v>
      </c>
      <c r="F7" s="1247"/>
      <c r="G7" s="442"/>
      <c r="H7" s="419" t="s">
        <v>489</v>
      </c>
      <c r="I7" s="417" t="str">
        <f>IF(AND($C$8=1,$C$5+$C$6+$C$7=0,$C$9=1),"ДА","НЕТ")</f>
        <v>НЕТ</v>
      </c>
      <c r="J7" s="398"/>
      <c r="K7" s="322">
        <f t="shared" si="0"/>
        <v>0</v>
      </c>
      <c r="L7" s="408"/>
    </row>
    <row r="8" spans="1:12" ht="12.75" thickBot="1">
      <c r="A8" s="408"/>
      <c r="B8" s="517" t="s">
        <v>491</v>
      </c>
      <c r="C8" s="516">
        <v>0</v>
      </c>
      <c r="D8" s="629" t="s">
        <v>287</v>
      </c>
      <c r="E8" s="519" t="s">
        <v>255</v>
      </c>
      <c r="F8" s="1248"/>
      <c r="G8" s="442"/>
      <c r="H8" s="421" t="s">
        <v>486</v>
      </c>
      <c r="I8" s="417" t="str">
        <f>IF(AND($C$8=1,$C$5+$C$6+$C$7=0,$C$9=3),"ДА","НЕТ")</f>
        <v>НЕТ</v>
      </c>
      <c r="J8" s="325"/>
      <c r="K8" s="322">
        <f t="shared" si="0"/>
        <v>0</v>
      </c>
      <c r="L8" s="408"/>
    </row>
    <row r="9" spans="1:12" ht="12.75" thickBot="1">
      <c r="A9" s="408"/>
      <c r="B9" s="432" t="s">
        <v>589</v>
      </c>
      <c r="C9" s="551">
        <v>0</v>
      </c>
      <c r="D9" s="436" t="s">
        <v>619</v>
      </c>
      <c r="E9" s="437" t="s">
        <v>620</v>
      </c>
      <c r="F9" s="439" t="s">
        <v>621</v>
      </c>
      <c r="G9" s="442"/>
      <c r="H9" s="421" t="s">
        <v>487</v>
      </c>
      <c r="I9" s="417" t="str">
        <f>IF(AND($C$8=1,$C$5+$C$6+$C$7=0,$C$9=2),"ДА","НЕТ")</f>
        <v>НЕТ</v>
      </c>
      <c r="J9" s="325"/>
      <c r="K9" s="322">
        <f t="shared" si="0"/>
        <v>0</v>
      </c>
      <c r="L9" s="408"/>
    </row>
    <row r="10" spans="1:12" ht="12" customHeight="1">
      <c r="A10" s="408"/>
      <c r="B10" s="410" t="s">
        <v>361</v>
      </c>
      <c r="C10" s="467">
        <v>0</v>
      </c>
      <c r="D10" s="423" t="s">
        <v>287</v>
      </c>
      <c r="E10" s="628" t="s">
        <v>255</v>
      </c>
      <c r="F10" s="1246" t="s">
        <v>597</v>
      </c>
      <c r="G10" s="442"/>
      <c r="H10" s="421" t="s">
        <v>488</v>
      </c>
      <c r="I10" s="417" t="str">
        <f>IF(AND($C$8=1,$C$5+$C$6+$C$7=0,$C$9=2),"ДА","НЕТ")</f>
        <v>НЕТ</v>
      </c>
      <c r="J10" s="325"/>
      <c r="K10" s="322">
        <f t="shared" si="0"/>
        <v>0</v>
      </c>
      <c r="L10" s="408"/>
    </row>
    <row r="11" spans="1:12" ht="12">
      <c r="A11" s="408"/>
      <c r="B11" s="420" t="s">
        <v>362</v>
      </c>
      <c r="C11" s="464">
        <v>0</v>
      </c>
      <c r="D11" s="427" t="s">
        <v>287</v>
      </c>
      <c r="E11" s="647" t="s">
        <v>255</v>
      </c>
      <c r="F11" s="1247"/>
      <c r="G11" s="442"/>
      <c r="H11" s="421" t="s">
        <v>494</v>
      </c>
      <c r="I11" s="417" t="str">
        <f>IF(AND($C$8=1,$C$5+$C$6+$C$7=0,$C$9=2),"ДА","НЕТ")</f>
        <v>НЕТ</v>
      </c>
      <c r="J11" s="325"/>
      <c r="K11" s="322">
        <f t="shared" si="0"/>
        <v>0</v>
      </c>
      <c r="L11" s="408"/>
    </row>
    <row r="12" spans="1:12" ht="12">
      <c r="A12" s="408"/>
      <c r="B12" s="420" t="s">
        <v>467</v>
      </c>
      <c r="C12" s="464">
        <v>0</v>
      </c>
      <c r="D12" s="427" t="s">
        <v>287</v>
      </c>
      <c r="E12" s="647" t="s">
        <v>255</v>
      </c>
      <c r="F12" s="1247"/>
      <c r="G12" s="442"/>
      <c r="H12" s="416" t="s">
        <v>381</v>
      </c>
      <c r="I12" s="417" t="str">
        <f>IF(AND($C$5=1,$C$8+$C$7+$C$6=0,$C$9=1),"ДА","НЕТ")</f>
        <v>НЕТ</v>
      </c>
      <c r="J12" s="328"/>
      <c r="K12" s="322">
        <f t="shared" si="0"/>
        <v>0</v>
      </c>
      <c r="L12" s="408"/>
    </row>
    <row r="13" spans="1:12" ht="12.75" thickBot="1">
      <c r="A13" s="408"/>
      <c r="B13" s="415" t="s">
        <v>466</v>
      </c>
      <c r="C13" s="466">
        <v>0</v>
      </c>
      <c r="D13" s="430" t="s">
        <v>287</v>
      </c>
      <c r="E13" s="434" t="s">
        <v>255</v>
      </c>
      <c r="F13" s="1248"/>
      <c r="G13" s="442"/>
      <c r="H13" s="416" t="s">
        <v>382</v>
      </c>
      <c r="I13" s="417" t="str">
        <f>IF(AND($C$5=1,$C$8+$C$7+$C$6=0,$C$9=3),"ДА","НЕТ")</f>
        <v>НЕТ</v>
      </c>
      <c r="J13" s="328"/>
      <c r="K13" s="322">
        <f t="shared" si="0"/>
        <v>0</v>
      </c>
      <c r="L13" s="408"/>
    </row>
    <row r="14" spans="1:12" ht="11.25" customHeight="1">
      <c r="A14" s="408"/>
      <c r="B14" s="422" t="s">
        <v>670</v>
      </c>
      <c r="C14" s="570">
        <v>0</v>
      </c>
      <c r="D14" s="1280" t="s">
        <v>597</v>
      </c>
      <c r="E14" s="1281"/>
      <c r="F14" s="1282"/>
      <c r="G14" s="442"/>
      <c r="H14" s="416" t="s">
        <v>383</v>
      </c>
      <c r="I14" s="417" t="str">
        <f>IF(AND($C$7=1,$C$6+$C$8+$C$5=0,$C$9=1),"ДА","НЕТ")</f>
        <v>НЕТ</v>
      </c>
      <c r="J14" s="328"/>
      <c r="K14" s="322">
        <f t="shared" si="0"/>
        <v>0</v>
      </c>
      <c r="L14" s="408"/>
    </row>
    <row r="15" spans="1:12" ht="12.75" thickBot="1">
      <c r="A15" s="408"/>
      <c r="B15" s="517" t="s">
        <v>671</v>
      </c>
      <c r="C15" s="571">
        <v>0</v>
      </c>
      <c r="D15" s="1283"/>
      <c r="E15" s="1284"/>
      <c r="F15" s="1285"/>
      <c r="G15" s="442"/>
      <c r="H15" s="419" t="s">
        <v>384</v>
      </c>
      <c r="I15" s="417" t="str">
        <f>IF(AND($C$7=1,$C$6+$C$8+$C$5=0,$C$9=1),"ДА","НЕТ")</f>
        <v>НЕТ</v>
      </c>
      <c r="J15" s="328"/>
      <c r="K15" s="322">
        <f t="shared" si="0"/>
        <v>0</v>
      </c>
      <c r="L15" s="408"/>
    </row>
    <row r="16" spans="1:12" ht="12.75" thickBot="1">
      <c r="A16" s="408"/>
      <c r="B16" s="432" t="s">
        <v>404</v>
      </c>
      <c r="C16" s="468">
        <v>0</v>
      </c>
      <c r="D16" s="436" t="s">
        <v>544</v>
      </c>
      <c r="E16" s="648" t="s">
        <v>545</v>
      </c>
      <c r="F16" s="649"/>
      <c r="G16" s="442"/>
      <c r="H16" s="416" t="s">
        <v>388</v>
      </c>
      <c r="I16" s="417" t="str">
        <f>IF(AND($C$7=1,$C$6+$C$8+$C$5=0,$C$9=2),"ДА","НЕТ")</f>
        <v>НЕТ</v>
      </c>
      <c r="J16" s="328"/>
      <c r="K16" s="322">
        <f t="shared" si="0"/>
        <v>0</v>
      </c>
      <c r="L16" s="408"/>
    </row>
    <row r="17" spans="1:12" ht="12.75" thickBot="1">
      <c r="A17" s="408"/>
      <c r="B17" s="410" t="s">
        <v>147</v>
      </c>
      <c r="C17" s="467">
        <v>0</v>
      </c>
      <c r="D17" s="1249" t="s">
        <v>686</v>
      </c>
      <c r="E17" s="1250"/>
      <c r="F17" s="1251"/>
      <c r="G17" s="442"/>
      <c r="H17" s="440" t="s">
        <v>389</v>
      </c>
      <c r="I17" s="441" t="str">
        <f>IF(AND($C$7=1,$C$6+$C$8+$C$5=0,$C$9=2),"ДА","НЕТ")</f>
        <v>НЕТ</v>
      </c>
      <c r="J17" s="335"/>
      <c r="K17" s="478">
        <f t="shared" si="0"/>
        <v>0</v>
      </c>
      <c r="L17" s="408"/>
    </row>
    <row r="18" spans="1:12" s="73" customFormat="1" ht="12">
      <c r="A18" s="643"/>
      <c r="B18" s="420" t="s">
        <v>146</v>
      </c>
      <c r="C18" s="464">
        <v>0</v>
      </c>
      <c r="D18" s="1252" t="s">
        <v>687</v>
      </c>
      <c r="E18" s="1253"/>
      <c r="F18" s="1254"/>
      <c r="G18" s="446"/>
      <c r="H18" s="567"/>
      <c r="I18" s="568"/>
      <c r="J18" s="339"/>
      <c r="K18" s="340"/>
      <c r="L18" s="643"/>
    </row>
    <row r="19" spans="1:12" ht="12.75" thickBot="1">
      <c r="A19" s="408"/>
      <c r="B19" s="415" t="s">
        <v>143</v>
      </c>
      <c r="C19" s="466">
        <v>0</v>
      </c>
      <c r="D19" s="1255" t="s">
        <v>688</v>
      </c>
      <c r="E19" s="1256"/>
      <c r="F19" s="1257"/>
      <c r="G19" s="442"/>
      <c r="H19" s="567"/>
      <c r="I19" s="568"/>
      <c r="J19" s="339"/>
      <c r="K19" s="340"/>
      <c r="L19" s="408"/>
    </row>
    <row r="20" spans="1:12" ht="12.75" thickBot="1">
      <c r="A20" s="408"/>
      <c r="B20" s="720"/>
      <c r="C20" s="720"/>
      <c r="D20" s="720"/>
      <c r="E20" s="442"/>
      <c r="F20" s="442"/>
      <c r="G20" s="442"/>
      <c r="H20" s="567"/>
      <c r="I20" s="568"/>
      <c r="J20" s="339"/>
      <c r="K20" s="340"/>
      <c r="L20" s="408"/>
    </row>
    <row r="21" spans="1:12" ht="12.75">
      <c r="A21" s="408"/>
      <c r="B21" s="447" t="s">
        <v>5</v>
      </c>
      <c r="C21" s="448" t="s">
        <v>0</v>
      </c>
      <c r="D21" s="449" t="s">
        <v>4</v>
      </c>
      <c r="E21" s="450" t="s">
        <v>8</v>
      </c>
      <c r="F21" s="442"/>
      <c r="G21" s="442"/>
      <c r="H21" s="442"/>
      <c r="I21" s="442"/>
      <c r="J21" s="442"/>
      <c r="K21" s="442"/>
      <c r="L21" s="408"/>
    </row>
    <row r="22" spans="1:12">
      <c r="A22" s="408"/>
      <c r="B22" s="452" t="s">
        <v>468</v>
      </c>
      <c r="C22" s="345">
        <f>C13*C4*(C14+C15)</f>
        <v>0</v>
      </c>
      <c r="D22" s="346"/>
      <c r="E22" s="347">
        <f>C22*D22</f>
        <v>0</v>
      </c>
      <c r="F22" s="442"/>
      <c r="G22" s="442"/>
      <c r="H22" s="442"/>
      <c r="I22" s="442"/>
      <c r="J22" s="442"/>
      <c r="K22" s="442"/>
      <c r="L22" s="408"/>
    </row>
    <row r="23" spans="1:12">
      <c r="A23" s="408"/>
      <c r="B23" s="452" t="s">
        <v>541</v>
      </c>
      <c r="C23" s="345">
        <f>C12*C4*(C14+C15)</f>
        <v>0</v>
      </c>
      <c r="D23" s="356"/>
      <c r="E23" s="347">
        <f t="shared" ref="E23:E65" si="1">C23*D23</f>
        <v>0</v>
      </c>
      <c r="F23" s="442"/>
      <c r="G23" s="442"/>
      <c r="H23" s="442"/>
      <c r="I23" s="442"/>
      <c r="J23" s="442"/>
      <c r="K23" s="442"/>
      <c r="L23" s="408"/>
    </row>
    <row r="24" spans="1:12">
      <c r="A24" s="408"/>
      <c r="B24" s="452" t="s">
        <v>411</v>
      </c>
      <c r="C24" s="345">
        <f>(C10+C11)*C4*(C14+C15)*2</f>
        <v>0</v>
      </c>
      <c r="D24" s="356"/>
      <c r="E24" s="347">
        <f t="shared" si="1"/>
        <v>0</v>
      </c>
      <c r="F24" s="442"/>
      <c r="G24" s="442"/>
      <c r="H24" s="442"/>
      <c r="I24" s="442"/>
      <c r="J24" s="442"/>
      <c r="K24" s="442"/>
      <c r="L24" s="408"/>
    </row>
    <row r="25" spans="1:12">
      <c r="A25" s="408"/>
      <c r="B25" s="454" t="s">
        <v>447</v>
      </c>
      <c r="C25" s="350">
        <f>(C14+C15)*2</f>
        <v>0</v>
      </c>
      <c r="D25" s="351"/>
      <c r="E25" s="347">
        <f t="shared" si="1"/>
        <v>0</v>
      </c>
      <c r="F25" s="442"/>
      <c r="G25" s="442"/>
      <c r="H25" s="442"/>
      <c r="I25" s="442"/>
      <c r="J25" s="442"/>
      <c r="K25" s="442"/>
      <c r="L25" s="408"/>
    </row>
    <row r="26" spans="1:12">
      <c r="A26" s="408"/>
      <c r="B26" s="454" t="s">
        <v>503</v>
      </c>
      <c r="C26" s="350">
        <f>(C4-1)*(C14+C15)</f>
        <v>0</v>
      </c>
      <c r="D26" s="351"/>
      <c r="E26" s="347">
        <f t="shared" si="1"/>
        <v>0</v>
      </c>
      <c r="F26" s="442"/>
      <c r="G26" s="442"/>
      <c r="H26" s="442"/>
      <c r="I26" s="442"/>
      <c r="J26" s="442"/>
      <c r="K26" s="442"/>
      <c r="L26" s="408"/>
    </row>
    <row r="27" spans="1:12">
      <c r="A27" s="408"/>
      <c r="B27" s="452" t="s">
        <v>474</v>
      </c>
      <c r="C27" s="345">
        <f>C2*C14</f>
        <v>0</v>
      </c>
      <c r="D27" s="346"/>
      <c r="E27" s="347">
        <f t="shared" si="1"/>
        <v>0</v>
      </c>
      <c r="F27" s="442"/>
      <c r="G27" s="442"/>
      <c r="H27" s="442"/>
      <c r="I27" s="442"/>
      <c r="J27" s="442"/>
      <c r="K27" s="442"/>
      <c r="L27" s="408"/>
    </row>
    <row r="28" spans="1:12">
      <c r="A28" s="408"/>
      <c r="B28" s="452" t="s">
        <v>474</v>
      </c>
      <c r="C28" s="345">
        <f>C2*C14*C12</f>
        <v>0</v>
      </c>
      <c r="D28" s="346"/>
      <c r="E28" s="347">
        <f>C28*D28</f>
        <v>0</v>
      </c>
      <c r="F28" s="442"/>
      <c r="G28" s="442"/>
      <c r="H28" s="442"/>
      <c r="I28" s="442"/>
      <c r="J28" s="442"/>
      <c r="K28" s="442"/>
      <c r="L28" s="408"/>
    </row>
    <row r="29" spans="1:12">
      <c r="A29" s="408"/>
      <c r="B29" s="452" t="s">
        <v>363</v>
      </c>
      <c r="C29" s="345">
        <f>C2*C11*2*(C14+C15)</f>
        <v>0</v>
      </c>
      <c r="D29" s="399"/>
      <c r="E29" s="572">
        <f>C29*D29</f>
        <v>0</v>
      </c>
      <c r="F29" s="442"/>
      <c r="G29" s="442"/>
      <c r="H29" s="442"/>
      <c r="I29" s="442"/>
      <c r="J29" s="442"/>
      <c r="K29" s="442"/>
      <c r="L29" s="408"/>
    </row>
    <row r="30" spans="1:12">
      <c r="A30" s="408"/>
      <c r="B30" s="454" t="s">
        <v>118</v>
      </c>
      <c r="C30" s="350">
        <f>C2*(C14+C15)*C10</f>
        <v>0</v>
      </c>
      <c r="D30" s="351"/>
      <c r="E30" s="347">
        <f t="shared" si="1"/>
        <v>0</v>
      </c>
      <c r="F30" s="442"/>
      <c r="G30" s="442"/>
      <c r="H30" s="442"/>
      <c r="I30" s="442"/>
      <c r="J30" s="442"/>
      <c r="K30" s="442"/>
      <c r="L30" s="408"/>
    </row>
    <row r="31" spans="1:12">
      <c r="A31" s="408"/>
      <c r="B31" s="454" t="s">
        <v>472</v>
      </c>
      <c r="C31" s="350">
        <f>C2*(C14+C15)*C13</f>
        <v>0</v>
      </c>
      <c r="D31" s="351"/>
      <c r="E31" s="347">
        <f t="shared" si="1"/>
        <v>0</v>
      </c>
      <c r="F31" s="442"/>
      <c r="G31" s="442"/>
      <c r="H31" s="442"/>
      <c r="I31" s="442"/>
      <c r="J31" s="442"/>
      <c r="K31" s="442"/>
      <c r="L31" s="408"/>
    </row>
    <row r="32" spans="1:12">
      <c r="A32" s="408"/>
      <c r="B32" s="454" t="s">
        <v>473</v>
      </c>
      <c r="C32" s="350">
        <f>C2*C12*(C14+C15)</f>
        <v>0</v>
      </c>
      <c r="D32" s="356"/>
      <c r="E32" s="347">
        <f t="shared" si="1"/>
        <v>0</v>
      </c>
      <c r="F32" s="442"/>
      <c r="G32" s="442"/>
      <c r="H32" s="442"/>
      <c r="I32" s="442"/>
      <c r="J32" s="442"/>
      <c r="K32" s="442"/>
      <c r="L32" s="408"/>
    </row>
    <row r="33" spans="1:12">
      <c r="A33" s="408"/>
      <c r="B33" s="454" t="s">
        <v>364</v>
      </c>
      <c r="C33" s="350">
        <f>C2*C10*(C14+C15)</f>
        <v>0</v>
      </c>
      <c r="D33" s="356"/>
      <c r="E33" s="347">
        <f t="shared" si="1"/>
        <v>0</v>
      </c>
      <c r="F33" s="442"/>
      <c r="G33" s="442"/>
      <c r="H33" s="442"/>
      <c r="I33" s="442"/>
      <c r="J33" s="442"/>
      <c r="K33" s="442"/>
      <c r="L33" s="408"/>
    </row>
    <row r="34" spans="1:12">
      <c r="A34" s="408"/>
      <c r="B34" s="454" t="s">
        <v>365</v>
      </c>
      <c r="C34" s="350">
        <f>C2*C11*(C14+C15)</f>
        <v>0</v>
      </c>
      <c r="D34" s="356"/>
      <c r="E34" s="347">
        <f t="shared" si="1"/>
        <v>0</v>
      </c>
      <c r="F34" s="442"/>
      <c r="G34" s="442"/>
      <c r="H34" s="442"/>
      <c r="I34" s="442"/>
      <c r="J34" s="442"/>
      <c r="K34" s="442"/>
      <c r="L34" s="408"/>
    </row>
    <row r="35" spans="1:12">
      <c r="A35" s="408"/>
      <c r="B35" s="452" t="s">
        <v>451</v>
      </c>
      <c r="C35" s="345">
        <f>C2*C14</f>
        <v>0</v>
      </c>
      <c r="D35" s="346"/>
      <c r="E35" s="347">
        <f t="shared" si="1"/>
        <v>0</v>
      </c>
      <c r="F35" s="442"/>
      <c r="G35" s="442"/>
      <c r="H35" s="442"/>
      <c r="I35" s="442"/>
      <c r="J35" s="442"/>
      <c r="K35" s="442"/>
      <c r="L35" s="408"/>
    </row>
    <row r="36" spans="1:12">
      <c r="A36" s="408"/>
      <c r="B36" s="452" t="s">
        <v>450</v>
      </c>
      <c r="C36" s="345">
        <f>C2*C15</f>
        <v>0</v>
      </c>
      <c r="D36" s="399"/>
      <c r="E36" s="572">
        <f t="shared" si="1"/>
        <v>0</v>
      </c>
      <c r="F36" s="442"/>
      <c r="G36" s="442"/>
      <c r="H36" s="442"/>
      <c r="I36" s="442"/>
      <c r="J36" s="442"/>
      <c r="K36" s="442"/>
      <c r="L36" s="408"/>
    </row>
    <row r="37" spans="1:12">
      <c r="A37" s="408"/>
      <c r="B37" s="638" t="s">
        <v>484</v>
      </c>
      <c r="C37" s="402">
        <f>C2*(C14+C15)</f>
        <v>0</v>
      </c>
      <c r="D37" s="557"/>
      <c r="E37" s="347">
        <f t="shared" si="1"/>
        <v>0</v>
      </c>
      <c r="F37" s="442"/>
      <c r="G37" s="442"/>
      <c r="H37" s="442"/>
      <c r="I37" s="442"/>
      <c r="J37" s="442"/>
      <c r="K37" s="442"/>
      <c r="L37" s="408"/>
    </row>
    <row r="38" spans="1:12">
      <c r="A38" s="408"/>
      <c r="B38" s="454" t="s">
        <v>368</v>
      </c>
      <c r="C38" s="350">
        <f>(C25+C26)*2</f>
        <v>0</v>
      </c>
      <c r="D38" s="556"/>
      <c r="E38" s="572">
        <f t="shared" si="1"/>
        <v>0</v>
      </c>
      <c r="F38" s="442"/>
      <c r="G38" s="442"/>
      <c r="H38" s="442"/>
      <c r="I38" s="442"/>
      <c r="J38" s="442"/>
      <c r="K38" s="442"/>
      <c r="L38" s="408"/>
    </row>
    <row r="39" spans="1:12">
      <c r="A39" s="408"/>
      <c r="B39" s="454" t="s">
        <v>367</v>
      </c>
      <c r="C39" s="350">
        <f>C14</f>
        <v>0</v>
      </c>
      <c r="D39" s="351"/>
      <c r="E39" s="347">
        <f t="shared" si="1"/>
        <v>0</v>
      </c>
      <c r="F39" s="442"/>
      <c r="G39" s="442"/>
      <c r="H39" s="442"/>
      <c r="I39" s="442"/>
      <c r="J39" s="442"/>
      <c r="K39" s="442"/>
      <c r="L39" s="408"/>
    </row>
    <row r="40" spans="1:12">
      <c r="A40" s="408"/>
      <c r="B40" s="454" t="s">
        <v>725</v>
      </c>
      <c r="C40" s="350">
        <f>C15*((C4*2)-2)</f>
        <v>0</v>
      </c>
      <c r="D40" s="351"/>
      <c r="E40" s="347">
        <f t="shared" ref="E40" si="2">C40*D40</f>
        <v>0</v>
      </c>
      <c r="F40" s="442"/>
      <c r="G40" s="442"/>
      <c r="H40" s="442"/>
      <c r="I40" s="442"/>
      <c r="J40" s="442"/>
      <c r="K40" s="442"/>
      <c r="L40" s="408"/>
    </row>
    <row r="41" spans="1:12">
      <c r="A41" s="408"/>
      <c r="B41" s="454" t="s">
        <v>470</v>
      </c>
      <c r="C41" s="350">
        <f>C15</f>
        <v>0</v>
      </c>
      <c r="D41" s="356"/>
      <c r="E41" s="572">
        <f t="shared" si="1"/>
        <v>0</v>
      </c>
      <c r="F41" s="442"/>
      <c r="G41" s="442"/>
      <c r="H41" s="442"/>
      <c r="I41" s="442"/>
      <c r="J41" s="442"/>
      <c r="K41" s="442"/>
      <c r="L41" s="408"/>
    </row>
    <row r="42" spans="1:12">
      <c r="A42" s="408"/>
      <c r="B42" s="454" t="s">
        <v>504</v>
      </c>
      <c r="C42" s="350">
        <f>(C4-1)*(C14+C15)</f>
        <v>0</v>
      </c>
      <c r="D42" s="351"/>
      <c r="E42" s="347">
        <f t="shared" si="1"/>
        <v>0</v>
      </c>
      <c r="F42" s="442"/>
      <c r="G42" s="442"/>
      <c r="H42" s="442"/>
      <c r="I42" s="442"/>
      <c r="J42" s="442"/>
      <c r="K42" s="442"/>
      <c r="L42" s="408"/>
    </row>
    <row r="43" spans="1:12">
      <c r="A43" s="408"/>
      <c r="B43" s="454" t="s">
        <v>505</v>
      </c>
      <c r="C43" s="350">
        <f>(C4-1)*(C14+C15)</f>
        <v>0</v>
      </c>
      <c r="D43" s="351"/>
      <c r="E43" s="347">
        <f t="shared" si="1"/>
        <v>0</v>
      </c>
      <c r="F43" s="442"/>
      <c r="G43" s="442"/>
      <c r="H43" s="442"/>
      <c r="I43" s="442"/>
      <c r="J43" s="442"/>
      <c r="K43" s="442"/>
      <c r="L43" s="408"/>
    </row>
    <row r="44" spans="1:12">
      <c r="A44" s="408"/>
      <c r="B44" s="454" t="s">
        <v>828</v>
      </c>
      <c r="C44" s="350">
        <f>(C14+C15)</f>
        <v>0</v>
      </c>
      <c r="D44" s="351"/>
      <c r="E44" s="347">
        <f t="shared" si="1"/>
        <v>0</v>
      </c>
      <c r="F44" s="442"/>
      <c r="G44" s="442"/>
      <c r="H44" s="442"/>
      <c r="I44" s="442"/>
      <c r="J44" s="442"/>
      <c r="K44" s="442"/>
      <c r="L44" s="408"/>
    </row>
    <row r="45" spans="1:12">
      <c r="A45" s="408"/>
      <c r="B45" s="454" t="s">
        <v>408</v>
      </c>
      <c r="C45" s="350">
        <f>EVEN(ROUNDDOWN(IF(C16=1,(C2*(C15+C14)/0.5),0),0))</f>
        <v>0</v>
      </c>
      <c r="D45" s="351"/>
      <c r="E45" s="347">
        <f t="shared" si="1"/>
        <v>0</v>
      </c>
      <c r="F45" s="456"/>
      <c r="G45" s="442"/>
      <c r="H45" s="442"/>
      <c r="I45" s="442"/>
      <c r="J45" s="442"/>
      <c r="K45" s="442"/>
      <c r="L45" s="408"/>
    </row>
    <row r="46" spans="1:12">
      <c r="A46" s="408"/>
      <c r="B46" s="454" t="s">
        <v>479</v>
      </c>
      <c r="C46" s="350">
        <f>EVEN(ROUNDDOWN(IF(C16=0,(C2/0.5)*(C14+C15),0),0))</f>
        <v>0</v>
      </c>
      <c r="D46" s="351"/>
      <c r="E46" s="347">
        <f t="shared" si="1"/>
        <v>0</v>
      </c>
      <c r="F46" s="645"/>
      <c r="G46" s="442"/>
      <c r="H46" s="442"/>
      <c r="I46" s="442"/>
      <c r="J46" s="442"/>
      <c r="K46" s="442"/>
      <c r="L46" s="408"/>
    </row>
    <row r="47" spans="1:12">
      <c r="A47" s="408"/>
      <c r="B47" s="454" t="s">
        <v>456</v>
      </c>
      <c r="C47" s="350">
        <f>C2*(C14+C15)</f>
        <v>0</v>
      </c>
      <c r="D47" s="351"/>
      <c r="E47" s="347">
        <f t="shared" si="1"/>
        <v>0</v>
      </c>
      <c r="F47" s="650"/>
      <c r="G47" s="442"/>
      <c r="H47" s="442"/>
      <c r="I47" s="442"/>
      <c r="J47" s="442"/>
      <c r="K47" s="442"/>
      <c r="L47" s="408"/>
    </row>
    <row r="48" spans="1:12">
      <c r="A48" s="408"/>
      <c r="B48" s="454" t="s">
        <v>405</v>
      </c>
      <c r="C48" s="350">
        <f>C2*(C14+C15)</f>
        <v>0</v>
      </c>
      <c r="D48" s="351"/>
      <c r="E48" s="347">
        <f t="shared" si="1"/>
        <v>0</v>
      </c>
      <c r="F48" s="650"/>
      <c r="G48" s="442"/>
      <c r="H48" s="442"/>
      <c r="I48" s="442"/>
      <c r="J48" s="442"/>
      <c r="K48" s="442"/>
      <c r="L48" s="408"/>
    </row>
    <row r="49" spans="1:12">
      <c r="A49" s="408"/>
      <c r="B49" s="454" t="s">
        <v>406</v>
      </c>
      <c r="C49" s="350">
        <f>(C14+C15)</f>
        <v>0</v>
      </c>
      <c r="D49" s="351">
        <v>1</v>
      </c>
      <c r="E49" s="347">
        <f t="shared" si="1"/>
        <v>0</v>
      </c>
      <c r="F49" s="650"/>
      <c r="G49" s="442"/>
      <c r="H49" s="442"/>
      <c r="I49" s="442"/>
      <c r="J49" s="442"/>
      <c r="K49" s="442"/>
      <c r="L49" s="408"/>
    </row>
    <row r="50" spans="1:12">
      <c r="A50" s="408"/>
      <c r="B50" s="454" t="s">
        <v>407</v>
      </c>
      <c r="C50" s="350">
        <f>(C14+C15)</f>
        <v>0</v>
      </c>
      <c r="D50" s="351"/>
      <c r="E50" s="347">
        <f t="shared" si="1"/>
        <v>0</v>
      </c>
      <c r="F50" s="651"/>
      <c r="G50" s="442"/>
      <c r="H50" s="442"/>
      <c r="I50" s="442"/>
      <c r="J50" s="442"/>
      <c r="K50" s="442"/>
      <c r="L50" s="408"/>
    </row>
    <row r="51" spans="1:12">
      <c r="A51" s="408"/>
      <c r="B51" s="455" t="s">
        <v>506</v>
      </c>
      <c r="C51" s="357">
        <f>(C4-1)*(C14+C15)</f>
        <v>0</v>
      </c>
      <c r="D51" s="351"/>
      <c r="E51" s="347">
        <f t="shared" si="1"/>
        <v>0</v>
      </c>
      <c r="F51" s="651"/>
      <c r="G51" s="442"/>
      <c r="H51" s="442"/>
      <c r="I51" s="442"/>
      <c r="J51" s="442"/>
      <c r="K51" s="442"/>
      <c r="L51" s="408"/>
    </row>
    <row r="52" spans="1:12" ht="11.25" customHeight="1">
      <c r="A52" s="408"/>
      <c r="B52" s="455" t="s">
        <v>507</v>
      </c>
      <c r="C52" s="357">
        <f>(C4-1)*(C14+C15)</f>
        <v>0</v>
      </c>
      <c r="D52" s="351"/>
      <c r="E52" s="347">
        <f t="shared" si="1"/>
        <v>0</v>
      </c>
      <c r="F52" s="651"/>
      <c r="G52" s="442"/>
      <c r="H52" s="442"/>
      <c r="I52" s="442"/>
      <c r="J52" s="442"/>
      <c r="K52" s="442"/>
      <c r="L52" s="408"/>
    </row>
    <row r="53" spans="1:12">
      <c r="A53" s="408"/>
      <c r="B53" s="455" t="s">
        <v>454</v>
      </c>
      <c r="C53" s="357">
        <f>(C5+C6)*C14</f>
        <v>0</v>
      </c>
      <c r="D53" s="351"/>
      <c r="E53" s="347">
        <f t="shared" si="1"/>
        <v>0</v>
      </c>
      <c r="F53" s="652"/>
      <c r="G53" s="442"/>
      <c r="H53" s="442"/>
      <c r="I53" s="442"/>
      <c r="J53" s="442"/>
      <c r="K53" s="442"/>
      <c r="L53" s="408"/>
    </row>
    <row r="54" spans="1:12">
      <c r="A54" s="408"/>
      <c r="B54" s="455" t="s">
        <v>375</v>
      </c>
      <c r="C54" s="357">
        <f>C6*C14</f>
        <v>0</v>
      </c>
      <c r="D54" s="351"/>
      <c r="E54" s="347">
        <f t="shared" si="1"/>
        <v>0</v>
      </c>
      <c r="F54" s="653"/>
      <c r="G54" s="442"/>
      <c r="H54" s="442"/>
      <c r="I54" s="442"/>
      <c r="J54" s="442"/>
      <c r="K54" s="442"/>
      <c r="L54" s="408"/>
    </row>
    <row r="55" spans="1:12">
      <c r="A55" s="408"/>
      <c r="B55" s="455" t="s">
        <v>495</v>
      </c>
      <c r="C55" s="357">
        <f>C6*C14</f>
        <v>0</v>
      </c>
      <c r="D55" s="351"/>
      <c r="E55" s="347">
        <f t="shared" si="1"/>
        <v>0</v>
      </c>
      <c r="F55" s="653"/>
      <c r="G55" s="442"/>
      <c r="H55" s="442"/>
      <c r="I55" s="442"/>
      <c r="J55" s="442"/>
      <c r="K55" s="442"/>
      <c r="L55" s="408"/>
    </row>
    <row r="56" spans="1:12">
      <c r="A56" s="408"/>
      <c r="B56" s="455" t="s">
        <v>378</v>
      </c>
      <c r="C56" s="402">
        <f>C8*C15</f>
        <v>0</v>
      </c>
      <c r="D56" s="356"/>
      <c r="E56" s="403">
        <f t="shared" si="1"/>
        <v>0</v>
      </c>
      <c r="F56" s="653"/>
      <c r="G56" s="442"/>
      <c r="H56" s="442"/>
      <c r="I56" s="442"/>
      <c r="J56" s="442"/>
      <c r="K56" s="442"/>
      <c r="L56" s="408"/>
    </row>
    <row r="57" spans="1:12">
      <c r="A57" s="408"/>
      <c r="B57" s="455" t="s">
        <v>386</v>
      </c>
      <c r="C57" s="402">
        <f>C7*C15</f>
        <v>0</v>
      </c>
      <c r="D57" s="356"/>
      <c r="E57" s="403">
        <f t="shared" si="1"/>
        <v>0</v>
      </c>
      <c r="F57" s="653"/>
      <c r="G57" s="442"/>
      <c r="H57" s="442"/>
      <c r="I57" s="442"/>
      <c r="J57" s="442"/>
      <c r="K57" s="442"/>
      <c r="L57" s="408"/>
    </row>
    <row r="58" spans="1:12">
      <c r="A58" s="408"/>
      <c r="B58" s="455" t="s">
        <v>387</v>
      </c>
      <c r="C58" s="402">
        <f>C7*C15</f>
        <v>0</v>
      </c>
      <c r="D58" s="356"/>
      <c r="E58" s="403">
        <f t="shared" si="1"/>
        <v>0</v>
      </c>
      <c r="F58" s="653"/>
      <c r="G58" s="442"/>
      <c r="H58" s="442"/>
      <c r="I58" s="442"/>
      <c r="J58" s="442"/>
      <c r="K58" s="442"/>
      <c r="L58" s="408"/>
    </row>
    <row r="59" spans="1:12">
      <c r="A59" s="408"/>
      <c r="B59" s="455" t="s">
        <v>377</v>
      </c>
      <c r="C59" s="402">
        <f>C8*C15</f>
        <v>0</v>
      </c>
      <c r="D59" s="356"/>
      <c r="E59" s="403">
        <f t="shared" si="1"/>
        <v>0</v>
      </c>
      <c r="F59" s="653"/>
      <c r="G59" s="442"/>
      <c r="H59" s="442"/>
      <c r="I59" s="442"/>
      <c r="J59" s="442"/>
      <c r="K59" s="442"/>
      <c r="L59" s="408"/>
    </row>
    <row r="60" spans="1:12">
      <c r="A60" s="408"/>
      <c r="B60" s="454" t="s">
        <v>480</v>
      </c>
      <c r="C60" s="350">
        <f>C2*C15</f>
        <v>0</v>
      </c>
      <c r="D60" s="356"/>
      <c r="E60" s="347">
        <f t="shared" si="1"/>
        <v>0</v>
      </c>
      <c r="F60" s="653"/>
      <c r="G60" s="442"/>
      <c r="H60" s="442"/>
      <c r="I60" s="442"/>
      <c r="J60" s="442"/>
      <c r="K60" s="442"/>
      <c r="L60" s="408"/>
    </row>
    <row r="61" spans="1:12" ht="11.25" customHeight="1">
      <c r="A61" s="408"/>
      <c r="B61" s="455" t="s">
        <v>380</v>
      </c>
      <c r="C61" s="357">
        <f>C5*C14</f>
        <v>0</v>
      </c>
      <c r="D61" s="351"/>
      <c r="E61" s="347">
        <f t="shared" si="1"/>
        <v>0</v>
      </c>
      <c r="F61" s="653"/>
      <c r="G61" s="442"/>
      <c r="H61" s="442"/>
      <c r="I61" s="442"/>
      <c r="J61" s="442"/>
      <c r="K61" s="442"/>
      <c r="L61" s="408"/>
    </row>
    <row r="62" spans="1:12" ht="11.25" customHeight="1">
      <c r="A62" s="408"/>
      <c r="B62" s="528" t="s">
        <v>145</v>
      </c>
      <c r="C62" s="509">
        <f>C18</f>
        <v>0</v>
      </c>
      <c r="D62" s="525"/>
      <c r="E62" s="403">
        <f t="shared" si="1"/>
        <v>0</v>
      </c>
      <c r="F62" s="653"/>
      <c r="G62" s="442"/>
      <c r="H62" s="442"/>
      <c r="I62" s="442"/>
      <c r="J62" s="442"/>
      <c r="K62" s="442"/>
      <c r="L62" s="408"/>
    </row>
    <row r="63" spans="1:12" ht="11.25" customHeight="1">
      <c r="A63" s="408"/>
      <c r="B63" s="528" t="s">
        <v>148</v>
      </c>
      <c r="C63" s="509">
        <f>C17</f>
        <v>0</v>
      </c>
      <c r="D63" s="525"/>
      <c r="E63" s="403">
        <f t="shared" si="1"/>
        <v>0</v>
      </c>
      <c r="F63" s="653"/>
      <c r="G63" s="442"/>
      <c r="H63" s="442"/>
      <c r="I63" s="442"/>
      <c r="J63" s="442"/>
      <c r="K63" s="442"/>
      <c r="L63" s="408"/>
    </row>
    <row r="64" spans="1:12" ht="11.25" customHeight="1">
      <c r="A64" s="408"/>
      <c r="B64" s="528" t="s">
        <v>689</v>
      </c>
      <c r="C64" s="509">
        <f>C19</f>
        <v>0</v>
      </c>
      <c r="D64" s="525"/>
      <c r="E64" s="403">
        <f t="shared" si="1"/>
        <v>0</v>
      </c>
      <c r="F64" s="653"/>
      <c r="G64" s="442"/>
      <c r="H64" s="442"/>
      <c r="I64" s="442"/>
      <c r="J64" s="442"/>
      <c r="K64" s="442"/>
      <c r="L64" s="408"/>
    </row>
    <row r="65" spans="1:12" ht="12" thickBot="1">
      <c r="A65" s="408"/>
      <c r="B65" s="457" t="s">
        <v>829</v>
      </c>
      <c r="C65" s="405">
        <f>C5*C14</f>
        <v>0</v>
      </c>
      <c r="D65" s="406"/>
      <c r="E65" s="407">
        <f t="shared" si="1"/>
        <v>0</v>
      </c>
      <c r="F65" s="654"/>
      <c r="G65" s="442"/>
      <c r="H65" s="442"/>
      <c r="I65" s="442"/>
      <c r="J65" s="442"/>
      <c r="K65" s="442"/>
      <c r="L65" s="408"/>
    </row>
    <row r="66" spans="1:12" ht="13.5" thickBot="1">
      <c r="A66" s="408"/>
      <c r="B66" s="442"/>
      <c r="C66" s="442"/>
      <c r="D66" s="458" t="s">
        <v>9</v>
      </c>
      <c r="E66" s="644">
        <f>SUMIF(E22:E65,"&gt;0",E22:E65)</f>
        <v>0</v>
      </c>
      <c r="F66" s="654"/>
      <c r="G66" s="442"/>
      <c r="H66" s="442"/>
      <c r="I66" s="442"/>
      <c r="J66" s="442"/>
      <c r="K66" s="442"/>
      <c r="L66" s="408"/>
    </row>
    <row r="67" spans="1:12">
      <c r="A67" s="408"/>
      <c r="B67" s="442"/>
      <c r="C67" s="442"/>
      <c r="D67" s="442"/>
      <c r="E67" s="442"/>
      <c r="F67" s="654"/>
      <c r="G67" s="442"/>
      <c r="H67" s="442"/>
      <c r="I67" s="442"/>
      <c r="J67" s="442"/>
      <c r="K67" s="442"/>
      <c r="L67" s="408"/>
    </row>
    <row r="68" spans="1:12">
      <c r="A68" s="408"/>
      <c r="B68" s="442"/>
      <c r="C68" s="442"/>
      <c r="D68" s="442"/>
      <c r="E68" s="442"/>
      <c r="F68" s="442"/>
      <c r="G68" s="442"/>
      <c r="H68" s="442"/>
      <c r="I68" s="442"/>
      <c r="J68" s="442"/>
      <c r="K68" s="442"/>
      <c r="L68" s="408"/>
    </row>
    <row r="69" spans="1:12" ht="11.25" customHeight="1">
      <c r="A69" s="408"/>
      <c r="B69" s="442"/>
      <c r="C69" s="442"/>
      <c r="D69" s="442"/>
      <c r="E69" s="442"/>
      <c r="F69" s="442"/>
      <c r="G69" s="442"/>
      <c r="H69" s="442"/>
      <c r="I69" s="442"/>
      <c r="J69" s="442"/>
      <c r="K69" s="442"/>
      <c r="L69" s="408"/>
    </row>
    <row r="70" spans="1:12" ht="11.25" customHeight="1">
      <c r="A70" s="408"/>
      <c r="B70" s="408"/>
      <c r="C70" s="408"/>
      <c r="D70" s="408"/>
      <c r="E70" s="408"/>
      <c r="F70" s="408"/>
      <c r="G70" s="408"/>
      <c r="H70" s="408"/>
      <c r="I70" s="408"/>
      <c r="J70" s="408"/>
      <c r="K70" s="408"/>
      <c r="L70" s="408"/>
    </row>
    <row r="71" spans="1:12">
      <c r="A71" s="408"/>
      <c r="B71" s="408"/>
      <c r="C71" s="408"/>
      <c r="D71" s="408"/>
      <c r="E71" s="408"/>
      <c r="F71" s="408"/>
      <c r="G71" s="408"/>
      <c r="H71" s="408"/>
      <c r="I71" s="408"/>
      <c r="J71" s="408"/>
      <c r="K71" s="408"/>
      <c r="L71" s="408"/>
    </row>
    <row r="72" spans="1:12">
      <c r="A72" s="408"/>
      <c r="B72" s="408"/>
      <c r="C72" s="408"/>
      <c r="D72" s="408"/>
      <c r="E72" s="408"/>
      <c r="F72" s="408"/>
      <c r="G72" s="408"/>
      <c r="H72" s="408"/>
      <c r="I72" s="408"/>
      <c r="J72" s="408"/>
      <c r="K72" s="408"/>
      <c r="L72" s="408"/>
    </row>
    <row r="73" spans="1:12" ht="11.25" customHeight="1"/>
    <row r="74" spans="1:12" ht="11.25" customHeight="1"/>
  </sheetData>
  <sheetProtection algorithmName="SHA-512" hashValue="u50m4sb01u48yT8E/Jcw1IQ4DbYkZIxeTUpSEkq098awBuSNG/r7kazVHzlvjCXfqn61oQfdiA9+bzu7Br5dCA==" saltValue="DWO1hiBbgC+yW9qlnYtmDw==" spinCount="100000" sheet="1"/>
  <mergeCells count="9">
    <mergeCell ref="D18:F18"/>
    <mergeCell ref="D19:F19"/>
    <mergeCell ref="B1:E1"/>
    <mergeCell ref="D14:F15"/>
    <mergeCell ref="F5:F8"/>
    <mergeCell ref="F10:F13"/>
    <mergeCell ref="D2:F3"/>
    <mergeCell ref="D4:F4"/>
    <mergeCell ref="D17:F17"/>
  </mergeCells>
  <conditionalFormatting sqref="C9">
    <cfRule type="cellIs" dxfId="498" priority="29" operator="greaterThan">
      <formula>0</formula>
    </cfRule>
  </conditionalFormatting>
  <conditionalFormatting sqref="C5:C8">
    <cfRule type="cellIs" dxfId="497" priority="27" operator="greaterThan">
      <formula>0</formula>
    </cfRule>
  </conditionalFormatting>
  <conditionalFormatting sqref="C9">
    <cfRule type="cellIs" dxfId="496" priority="30" operator="greaterThan">
      <formula>0</formula>
    </cfRule>
  </conditionalFormatting>
  <conditionalFormatting sqref="C9">
    <cfRule type="cellIs" dxfId="495" priority="31" operator="greaterThan">
      <formula>0</formula>
    </cfRule>
  </conditionalFormatting>
  <conditionalFormatting sqref="C14:C15">
    <cfRule type="cellIs" dxfId="494" priority="28" operator="greaterThan">
      <formula>0</formula>
    </cfRule>
  </conditionalFormatting>
  <conditionalFormatting sqref="J3:K20">
    <cfRule type="cellIs" dxfId="493" priority="5" operator="greaterThan">
      <formula>0</formula>
    </cfRule>
    <cfRule type="cellIs" dxfId="492" priority="22" operator="greaterThan">
      <formula>0</formula>
    </cfRule>
    <cfRule type="cellIs" dxfId="491" priority="23" operator="greaterThan">
      <formula>0</formula>
    </cfRule>
  </conditionalFormatting>
  <conditionalFormatting sqref="I3:I20">
    <cfRule type="cellIs" dxfId="490" priority="24" operator="equal">
      <formula>"НЕТ"</formula>
    </cfRule>
    <cfRule type="cellIs" dxfId="489" priority="25" operator="equal">
      <formula>"ДА"</formula>
    </cfRule>
  </conditionalFormatting>
  <conditionalFormatting sqref="I3:I20">
    <cfRule type="colorScale" priority="26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6:E36">
    <cfRule type="cellIs" dxfId="488" priority="19" operator="greaterThan">
      <formula>0</formula>
    </cfRule>
    <cfRule type="cellIs" dxfId="487" priority="20" operator="greaterThan">
      <formula>0</formula>
    </cfRule>
    <cfRule type="cellIs" dxfId="486" priority="21" operator="greaterThan">
      <formula>0</formula>
    </cfRule>
  </conditionalFormatting>
  <conditionalFormatting sqref="C41:E41">
    <cfRule type="cellIs" dxfId="485" priority="16" operator="greaterThan">
      <formula>0</formula>
    </cfRule>
    <cfRule type="cellIs" dxfId="484" priority="17" operator="greaterThan">
      <formula>0</formula>
    </cfRule>
    <cfRule type="cellIs" dxfId="483" priority="18" operator="greaterThan">
      <formula>0</formula>
    </cfRule>
  </conditionalFormatting>
  <conditionalFormatting sqref="C57:E58">
    <cfRule type="cellIs" dxfId="482" priority="14" operator="greaterThan">
      <formula>0</formula>
    </cfRule>
  </conditionalFormatting>
  <conditionalFormatting sqref="C56:E56">
    <cfRule type="cellIs" dxfId="481" priority="15" operator="greaterThan">
      <formula>0</formula>
    </cfRule>
  </conditionalFormatting>
  <conditionalFormatting sqref="C59:E59">
    <cfRule type="cellIs" dxfId="480" priority="13" operator="greaterThan">
      <formula>0</formula>
    </cfRule>
  </conditionalFormatting>
  <conditionalFormatting sqref="C56:E59">
    <cfRule type="cellIs" dxfId="479" priority="10" operator="greaterThan">
      <formula>0</formula>
    </cfRule>
    <cfRule type="cellIs" dxfId="478" priority="11" operator="greaterThan">
      <formula>0</formula>
    </cfRule>
    <cfRule type="cellIs" dxfId="477" priority="12" operator="greaterThan">
      <formula>0</formula>
    </cfRule>
  </conditionalFormatting>
  <conditionalFormatting sqref="C60:E60">
    <cfRule type="cellIs" dxfId="476" priority="9" operator="greaterThan">
      <formula>0</formula>
    </cfRule>
  </conditionalFormatting>
  <conditionalFormatting sqref="E66">
    <cfRule type="cellIs" dxfId="475" priority="4" operator="greaterThan">
      <formula>0</formula>
    </cfRule>
    <cfRule type="cellIs" dxfId="474" priority="8" operator="greaterThan">
      <formula>0</formula>
    </cfRule>
  </conditionalFormatting>
  <conditionalFormatting sqref="C2:C16">
    <cfRule type="cellIs" dxfId="473" priority="7" operator="greaterThan">
      <formula>0</formula>
    </cfRule>
  </conditionalFormatting>
  <conditionalFormatting sqref="C41:E61 C65:E65">
    <cfRule type="cellIs" dxfId="472" priority="6" operator="greaterThan">
      <formula>0</formula>
    </cfRule>
  </conditionalFormatting>
  <conditionalFormatting sqref="C22:E38">
    <cfRule type="cellIs" dxfId="471" priority="3" operator="greaterThan">
      <formula>0</formula>
    </cfRule>
  </conditionalFormatting>
  <conditionalFormatting sqref="C17:C19">
    <cfRule type="cellIs" dxfId="470" priority="2" operator="greaterThan">
      <formula>0</formula>
    </cfRule>
  </conditionalFormatting>
  <conditionalFormatting sqref="C62:E64">
    <cfRule type="cellIs" dxfId="469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:L82"/>
  <sheetViews>
    <sheetView workbookViewId="0">
      <pane ySplit="26" topLeftCell="A27" activePane="bottomLeft" state="frozen"/>
      <selection pane="bottomLeft" activeCell="D27" sqref="D27"/>
    </sheetView>
  </sheetViews>
  <sheetFormatPr defaultRowHeight="11.25"/>
  <cols>
    <col min="2" max="2" width="57.6640625" customWidth="1"/>
    <col min="3" max="3" width="12" customWidth="1"/>
    <col min="4" max="4" width="12.33203125" customWidth="1"/>
    <col min="5" max="5" width="12.6640625" customWidth="1"/>
    <col min="6" max="6" width="21.83203125" customWidth="1"/>
    <col min="7" max="7" width="4.33203125" customWidth="1"/>
    <col min="8" max="8" width="46.33203125" customWidth="1"/>
    <col min="9" max="9" width="4.6640625" customWidth="1"/>
  </cols>
  <sheetData>
    <row r="1" spans="1:12" ht="63.75" customHeight="1" thickBot="1">
      <c r="A1" s="408"/>
      <c r="B1" s="1293"/>
      <c r="C1" s="1294"/>
      <c r="D1" s="1294"/>
      <c r="E1" s="1294"/>
      <c r="F1" s="408"/>
      <c r="G1" s="408"/>
      <c r="H1" s="408"/>
      <c r="I1" s="408"/>
      <c r="J1" s="408"/>
      <c r="K1" s="408"/>
      <c r="L1" s="408"/>
    </row>
    <row r="2" spans="1:12" ht="12" customHeight="1" thickBot="1">
      <c r="A2" s="408"/>
      <c r="B2" s="410" t="s">
        <v>666</v>
      </c>
      <c r="C2" s="578">
        <v>0</v>
      </c>
      <c r="D2" s="1238" t="s">
        <v>595</v>
      </c>
      <c r="E2" s="1239"/>
      <c r="F2" s="1240"/>
      <c r="G2" s="408"/>
      <c r="H2" s="412" t="s">
        <v>485</v>
      </c>
      <c r="I2" s="625" t="s">
        <v>604</v>
      </c>
      <c r="J2" s="413" t="s">
        <v>4</v>
      </c>
      <c r="K2" s="414" t="s">
        <v>8</v>
      </c>
      <c r="L2" s="408"/>
    </row>
    <row r="3" spans="1:12" ht="12" customHeight="1" thickBot="1">
      <c r="A3" s="408"/>
      <c r="B3" s="415" t="s">
        <v>667</v>
      </c>
      <c r="C3" s="579">
        <v>0</v>
      </c>
      <c r="D3" s="1241"/>
      <c r="E3" s="1242"/>
      <c r="F3" s="1243"/>
      <c r="G3" s="408"/>
      <c r="H3" s="416" t="s">
        <v>489</v>
      </c>
      <c r="I3" s="626" t="str">
        <f>IF(AND($C$7+$C$8+$C$11=1,$C$9+$C$10+$C$12=0,C13=1),"ДА","НЕТ")</f>
        <v>НЕТ</v>
      </c>
      <c r="J3" s="321"/>
      <c r="K3" s="322">
        <f>IF(I3="ДА",$C$21*J3,0)</f>
        <v>0</v>
      </c>
      <c r="L3" s="408"/>
    </row>
    <row r="4" spans="1:12" ht="12" customHeight="1">
      <c r="A4" s="408"/>
      <c r="B4" s="655" t="s">
        <v>509</v>
      </c>
      <c r="C4" s="586">
        <v>0</v>
      </c>
      <c r="D4" s="1301" t="s">
        <v>128</v>
      </c>
      <c r="E4" s="1302"/>
      <c r="F4" s="1303"/>
      <c r="G4" s="408"/>
      <c r="H4" s="421" t="s">
        <v>486</v>
      </c>
      <c r="I4" s="627" t="str">
        <f>IF(AND($C$7+$C$8+$C$11=1,$C$9+$C$10+$C$12=0,$C$13=3),"ДА","НЕТ")</f>
        <v>НЕТ</v>
      </c>
      <c r="J4" s="325"/>
      <c r="K4" s="326">
        <f t="shared" ref="K4:K19" si="0">IF(I4="ДА",$C$21*J4,0)</f>
        <v>0</v>
      </c>
      <c r="L4" s="408"/>
    </row>
    <row r="5" spans="1:12" ht="12" customHeight="1">
      <c r="A5" s="408"/>
      <c r="B5" s="656" t="s">
        <v>510</v>
      </c>
      <c r="C5" s="587">
        <v>0</v>
      </c>
      <c r="D5" s="1304"/>
      <c r="E5" s="1305"/>
      <c r="F5" s="1306"/>
      <c r="G5" s="408"/>
      <c r="H5" s="421" t="s">
        <v>591</v>
      </c>
      <c r="I5" s="627" t="str">
        <f>IF(AND($C$7+$C$8+$C$11=1,$C$9+$C$10+$C$12=0,$C$13=3),"ДА","НЕТ")</f>
        <v>НЕТ</v>
      </c>
      <c r="J5" s="325"/>
      <c r="K5" s="326">
        <f t="shared" si="0"/>
        <v>0</v>
      </c>
      <c r="L5" s="408"/>
    </row>
    <row r="6" spans="1:12" ht="12" customHeight="1" thickBot="1">
      <c r="A6" s="408"/>
      <c r="B6" s="657" t="s">
        <v>674</v>
      </c>
      <c r="C6" s="585">
        <v>0</v>
      </c>
      <c r="D6" s="1307"/>
      <c r="E6" s="1308"/>
      <c r="F6" s="1309"/>
      <c r="G6" s="408"/>
      <c r="H6" s="421" t="s">
        <v>487</v>
      </c>
      <c r="I6" s="627" t="str">
        <f>IF(AND($C$7+$C$8+$C$11=1,$C$9+$C$10+$C$12=0,$C$13=2),"ДА","НЕТ")</f>
        <v>НЕТ</v>
      </c>
      <c r="J6" s="325"/>
      <c r="K6" s="326">
        <f t="shared" si="0"/>
        <v>0</v>
      </c>
      <c r="L6" s="408"/>
    </row>
    <row r="7" spans="1:12" ht="12" customHeight="1">
      <c r="A7" s="408"/>
      <c r="B7" s="658" t="s">
        <v>498</v>
      </c>
      <c r="C7" s="581">
        <v>0</v>
      </c>
      <c r="D7" s="659" t="s">
        <v>287</v>
      </c>
      <c r="E7" s="660" t="s">
        <v>255</v>
      </c>
      <c r="F7" s="1310" t="s">
        <v>597</v>
      </c>
      <c r="G7" s="408"/>
      <c r="H7" s="421" t="s">
        <v>488</v>
      </c>
      <c r="I7" s="627" t="str">
        <f>IF(AND($C$7+$C$8+$C$11=1,$C$9+$C$10+$C$12=0,$C$13=2),"ДА","НЕТ")</f>
        <v>НЕТ</v>
      </c>
      <c r="J7" s="325"/>
      <c r="K7" s="326">
        <f t="shared" si="0"/>
        <v>0</v>
      </c>
      <c r="L7" s="408"/>
    </row>
    <row r="8" spans="1:12" ht="12" customHeight="1">
      <c r="A8" s="408"/>
      <c r="B8" s="656" t="s">
        <v>499</v>
      </c>
      <c r="C8" s="584">
        <v>0</v>
      </c>
      <c r="D8" s="661" t="s">
        <v>287</v>
      </c>
      <c r="E8" s="662" t="s">
        <v>255</v>
      </c>
      <c r="F8" s="1311"/>
      <c r="G8" s="408"/>
      <c r="H8" s="421" t="s">
        <v>494</v>
      </c>
      <c r="I8" s="627" t="str">
        <f>IF(AND($C$7+$C$8+$C$11=1,$C$9+$C$10+$C$12=0,$C$13=2),"ДА","НЕТ")</f>
        <v>НЕТ</v>
      </c>
      <c r="J8" s="325"/>
      <c r="K8" s="326">
        <f t="shared" si="0"/>
        <v>0</v>
      </c>
      <c r="L8" s="408"/>
    </row>
    <row r="9" spans="1:12" ht="12" customHeight="1">
      <c r="A9" s="408"/>
      <c r="B9" s="658" t="s">
        <v>500</v>
      </c>
      <c r="C9" s="581">
        <v>0</v>
      </c>
      <c r="D9" s="659" t="s">
        <v>287</v>
      </c>
      <c r="E9" s="660" t="s">
        <v>255</v>
      </c>
      <c r="F9" s="1311"/>
      <c r="G9" s="408"/>
      <c r="H9" s="416" t="s">
        <v>590</v>
      </c>
      <c r="I9" s="627" t="str">
        <f>IF(AND($C$7+$C$8+$C$11=1,$C$9+$C$10+$C$12=0,$C$13=1),"ДА","НЕТ")</f>
        <v>НЕТ</v>
      </c>
      <c r="J9" s="321"/>
      <c r="K9" s="322">
        <f t="shared" si="0"/>
        <v>0</v>
      </c>
      <c r="L9" s="408"/>
    </row>
    <row r="10" spans="1:12" ht="12" customHeight="1">
      <c r="A10" s="408"/>
      <c r="B10" s="656" t="s">
        <v>501</v>
      </c>
      <c r="C10" s="584">
        <v>0</v>
      </c>
      <c r="D10" s="661" t="s">
        <v>287</v>
      </c>
      <c r="E10" s="662" t="s">
        <v>255</v>
      </c>
      <c r="F10" s="1311"/>
      <c r="G10" s="408"/>
      <c r="H10" s="416" t="s">
        <v>383</v>
      </c>
      <c r="I10" s="627" t="str">
        <f>IF(AND($C$7+$C$8+$C$11+$C$12=0,$C$9+$C$10=1,$C$13=1),"ДА","НЕТ")</f>
        <v>НЕТ</v>
      </c>
      <c r="J10" s="328"/>
      <c r="K10" s="329">
        <f t="shared" si="0"/>
        <v>0</v>
      </c>
      <c r="L10" s="408"/>
    </row>
    <row r="11" spans="1:12" ht="12" customHeight="1">
      <c r="A11" s="408"/>
      <c r="B11" s="656" t="s">
        <v>587</v>
      </c>
      <c r="C11" s="584">
        <v>0</v>
      </c>
      <c r="D11" s="661" t="s">
        <v>287</v>
      </c>
      <c r="E11" s="662" t="s">
        <v>255</v>
      </c>
      <c r="F11" s="1311"/>
      <c r="G11" s="408"/>
      <c r="H11" s="419" t="s">
        <v>384</v>
      </c>
      <c r="I11" s="627" t="str">
        <f>IF(AND($C$7+$C$8+$C$11+$C$12=0,$C$9+$C$10=1,$C$13=1),"ДА","НЕТ")</f>
        <v>НЕТ</v>
      </c>
      <c r="J11" s="328"/>
      <c r="K11" s="329">
        <f t="shared" si="0"/>
        <v>0</v>
      </c>
      <c r="L11" s="408"/>
    </row>
    <row r="12" spans="1:12" ht="12" customHeight="1" thickBot="1">
      <c r="A12" s="408"/>
      <c r="B12" s="657" t="s">
        <v>588</v>
      </c>
      <c r="C12" s="588">
        <v>0</v>
      </c>
      <c r="D12" s="659" t="s">
        <v>287</v>
      </c>
      <c r="E12" s="660" t="s">
        <v>255</v>
      </c>
      <c r="F12" s="1312"/>
      <c r="G12" s="408"/>
      <c r="H12" s="419" t="s">
        <v>385</v>
      </c>
      <c r="I12" s="627" t="str">
        <f>IF(AND($C$7+$C$8+$C$11+$C$12=0,$C$9+$C$10=1,$C$13=1),"ДА","НЕТ")</f>
        <v>НЕТ</v>
      </c>
      <c r="J12" s="331"/>
      <c r="K12" s="329">
        <f t="shared" si="0"/>
        <v>0</v>
      </c>
      <c r="L12" s="408"/>
    </row>
    <row r="13" spans="1:12" ht="12" customHeight="1" thickBot="1">
      <c r="A13" s="408"/>
      <c r="B13" s="432" t="s">
        <v>589</v>
      </c>
      <c r="C13" s="551">
        <v>0</v>
      </c>
      <c r="D13" s="436" t="s">
        <v>619</v>
      </c>
      <c r="E13" s="437" t="s">
        <v>620</v>
      </c>
      <c r="F13" s="439" t="s">
        <v>621</v>
      </c>
      <c r="G13" s="408"/>
      <c r="H13" s="419" t="s">
        <v>592</v>
      </c>
      <c r="I13" s="627" t="str">
        <f>IF(AND($C$7+$C$8+$C$9+$C$10+$C$11=0,$C$12=1,$C$13=1),"ДА","НЕТ")</f>
        <v>НЕТ</v>
      </c>
      <c r="J13" s="331"/>
      <c r="K13" s="329">
        <f t="shared" si="0"/>
        <v>0</v>
      </c>
      <c r="L13" s="408"/>
    </row>
    <row r="14" spans="1:12" ht="12" customHeight="1" thickBot="1">
      <c r="A14" s="408"/>
      <c r="B14" s="663" t="s">
        <v>393</v>
      </c>
      <c r="C14" s="582">
        <v>0</v>
      </c>
      <c r="D14" s="664" t="s">
        <v>394</v>
      </c>
      <c r="E14" s="665" t="s">
        <v>395</v>
      </c>
      <c r="F14" s="1295"/>
      <c r="G14" s="408"/>
      <c r="H14" s="419" t="s">
        <v>592</v>
      </c>
      <c r="I14" s="627" t="str">
        <f>IF(AND($C$7+$C$8+$C$9+$C$10+$C$11=0,$C$12=1,$C$13=1),"ДА","НЕТ")</f>
        <v>НЕТ</v>
      </c>
      <c r="J14" s="331"/>
      <c r="K14" s="329">
        <f t="shared" si="0"/>
        <v>0</v>
      </c>
      <c r="L14" s="408"/>
    </row>
    <row r="15" spans="1:12" ht="12" customHeight="1" thickBot="1">
      <c r="A15" s="408"/>
      <c r="B15" s="666" t="s">
        <v>543</v>
      </c>
      <c r="C15" s="580">
        <v>0</v>
      </c>
      <c r="D15" s="667" t="s">
        <v>287</v>
      </c>
      <c r="E15" s="668" t="s">
        <v>255</v>
      </c>
      <c r="F15" s="1296"/>
      <c r="G15" s="408"/>
      <c r="H15" s="416" t="s">
        <v>388</v>
      </c>
      <c r="I15" s="627" t="str">
        <f>IF(AND($C$7+$C$8+$C$11+$C$12=0,$C$9+$C$10=1,$C$13=2),"ДА","НЕТ")</f>
        <v>НЕТ</v>
      </c>
      <c r="J15" s="328"/>
      <c r="K15" s="329">
        <f t="shared" si="0"/>
        <v>0</v>
      </c>
      <c r="L15" s="408"/>
    </row>
    <row r="16" spans="1:12" ht="12" customHeight="1" thickBot="1">
      <c r="A16" s="408"/>
      <c r="B16" s="666" t="s">
        <v>358</v>
      </c>
      <c r="C16" s="583">
        <v>0</v>
      </c>
      <c r="D16" s="667" t="s">
        <v>417</v>
      </c>
      <c r="E16" s="668" t="s">
        <v>418</v>
      </c>
      <c r="F16" s="1297"/>
      <c r="G16" s="408"/>
      <c r="H16" s="419" t="s">
        <v>389</v>
      </c>
      <c r="I16" s="627" t="str">
        <f>IF(AND($C$7+$C$8+$C$11+$C$12=0,$C$9+$C$10=1,$C$13=2),"ДА","НЕТ")</f>
        <v>НЕТ</v>
      </c>
      <c r="J16" s="328"/>
      <c r="K16" s="329">
        <f t="shared" si="0"/>
        <v>0</v>
      </c>
      <c r="L16" s="408"/>
    </row>
    <row r="17" spans="1:12" ht="12" customHeight="1">
      <c r="A17" s="408"/>
      <c r="B17" s="658" t="s">
        <v>361</v>
      </c>
      <c r="C17" s="581">
        <v>0</v>
      </c>
      <c r="D17" s="669" t="s">
        <v>287</v>
      </c>
      <c r="E17" s="670" t="s">
        <v>255</v>
      </c>
      <c r="F17" s="1246" t="s">
        <v>597</v>
      </c>
      <c r="G17" s="408"/>
      <c r="H17" s="419" t="s">
        <v>390</v>
      </c>
      <c r="I17" s="627" t="str">
        <f>IF(AND($C$7+$C$8+$C$11+$C$12=0,$C$9+$C$10=1,$C$13=2),"ДА","НЕТ")</f>
        <v>НЕТ</v>
      </c>
      <c r="J17" s="328"/>
      <c r="K17" s="326">
        <f t="shared" si="0"/>
        <v>0</v>
      </c>
      <c r="L17" s="408"/>
    </row>
    <row r="18" spans="1:12" ht="12" customHeight="1">
      <c r="A18" s="408"/>
      <c r="B18" s="656" t="s">
        <v>362</v>
      </c>
      <c r="C18" s="584">
        <v>0</v>
      </c>
      <c r="D18" s="661" t="s">
        <v>287</v>
      </c>
      <c r="E18" s="662" t="s">
        <v>255</v>
      </c>
      <c r="F18" s="1247"/>
      <c r="G18" s="408"/>
      <c r="H18" s="416" t="s">
        <v>593</v>
      </c>
      <c r="I18" s="626" t="str">
        <f>IF(AND($C$7+$C$8+$C$9+$C$10+$C$11=0,$C$12=1,$C$13=2),"ДА","НЕТ")</f>
        <v>НЕТ</v>
      </c>
      <c r="J18" s="332"/>
      <c r="K18" s="333">
        <f t="shared" si="0"/>
        <v>0</v>
      </c>
      <c r="L18" s="408"/>
    </row>
    <row r="19" spans="1:12" ht="12" customHeight="1" thickBot="1">
      <c r="A19" s="408"/>
      <c r="B19" s="656" t="s">
        <v>467</v>
      </c>
      <c r="C19" s="584">
        <v>0</v>
      </c>
      <c r="D19" s="661" t="s">
        <v>287</v>
      </c>
      <c r="E19" s="662" t="s">
        <v>255</v>
      </c>
      <c r="F19" s="1247"/>
      <c r="G19" s="408"/>
      <c r="H19" s="440" t="s">
        <v>594</v>
      </c>
      <c r="I19" s="637" t="str">
        <f>IF(AND($C$7+$C$8+$C$9+$C$10+$C$11=0,$C$12=1,$C$13=2),"ДА","НЕТ")</f>
        <v>НЕТ</v>
      </c>
      <c r="J19" s="335"/>
      <c r="K19" s="336">
        <f t="shared" si="0"/>
        <v>0</v>
      </c>
      <c r="L19" s="408"/>
    </row>
    <row r="20" spans="1:12" ht="12" customHeight="1" thickBot="1">
      <c r="A20" s="408"/>
      <c r="B20" s="656" t="s">
        <v>466</v>
      </c>
      <c r="C20" s="584">
        <v>0</v>
      </c>
      <c r="D20" s="671" t="s">
        <v>287</v>
      </c>
      <c r="E20" s="672" t="s">
        <v>255</v>
      </c>
      <c r="F20" s="1248"/>
      <c r="G20" s="408"/>
      <c r="H20" s="408"/>
      <c r="I20" s="408"/>
      <c r="J20" s="408"/>
      <c r="K20" s="408"/>
      <c r="L20" s="408"/>
    </row>
    <row r="21" spans="1:12" ht="12" customHeight="1" thickBot="1">
      <c r="A21" s="408"/>
      <c r="B21" s="666" t="s">
        <v>123</v>
      </c>
      <c r="C21" s="580">
        <v>0</v>
      </c>
      <c r="D21" s="1298" t="s">
        <v>675</v>
      </c>
      <c r="E21" s="1299"/>
      <c r="F21" s="1300"/>
      <c r="G21" s="408"/>
      <c r="H21" s="408"/>
      <c r="I21" s="408"/>
      <c r="J21" s="408"/>
      <c r="K21" s="408"/>
      <c r="L21" s="408"/>
    </row>
    <row r="22" spans="1:12" ht="12" customHeight="1" thickBot="1">
      <c r="A22" s="408"/>
      <c r="B22" s="673" t="s">
        <v>502</v>
      </c>
      <c r="C22" s="585">
        <v>0</v>
      </c>
      <c r="D22" s="1298" t="s">
        <v>540</v>
      </c>
      <c r="E22" s="1299"/>
      <c r="F22" s="1300"/>
      <c r="G22" s="408"/>
      <c r="H22" s="408"/>
      <c r="I22" s="408"/>
      <c r="J22" s="408"/>
      <c r="K22" s="408"/>
      <c r="L22" s="408"/>
    </row>
    <row r="23" spans="1:12" ht="12" customHeight="1">
      <c r="A23" s="408"/>
      <c r="B23" s="732" t="s">
        <v>147</v>
      </c>
      <c r="C23" s="467">
        <v>0</v>
      </c>
      <c r="D23" s="1250" t="s">
        <v>686</v>
      </c>
      <c r="E23" s="1250"/>
      <c r="F23" s="1251"/>
      <c r="G23" s="408"/>
      <c r="H23" s="408"/>
      <c r="I23" s="408"/>
      <c r="J23" s="408"/>
      <c r="K23" s="408"/>
      <c r="L23" s="408"/>
    </row>
    <row r="24" spans="1:12" ht="12" customHeight="1" thickBot="1">
      <c r="A24" s="408"/>
      <c r="B24" s="733" t="s">
        <v>146</v>
      </c>
      <c r="C24" s="466">
        <v>0</v>
      </c>
      <c r="D24" s="1256" t="s">
        <v>687</v>
      </c>
      <c r="E24" s="1256"/>
      <c r="F24" s="1257"/>
      <c r="G24" s="408"/>
      <c r="H24" s="408"/>
      <c r="I24" s="408"/>
      <c r="J24" s="408"/>
      <c r="K24" s="408"/>
      <c r="L24" s="408"/>
    </row>
    <row r="25" spans="1:12" ht="12" customHeight="1" thickBot="1">
      <c r="A25" s="408"/>
      <c r="B25" s="674"/>
      <c r="C25" s="674"/>
      <c r="D25" s="674"/>
      <c r="E25" s="674"/>
      <c r="F25" s="643"/>
      <c r="G25" s="408"/>
      <c r="H25" s="408"/>
      <c r="I25" s="408"/>
      <c r="J25" s="408"/>
      <c r="K25" s="408"/>
      <c r="L25" s="408"/>
    </row>
    <row r="26" spans="1:12" ht="12" customHeight="1" thickBot="1">
      <c r="A26" s="408"/>
      <c r="B26" s="675" t="s">
        <v>5</v>
      </c>
      <c r="C26" s="676" t="s">
        <v>0</v>
      </c>
      <c r="D26" s="677" t="s">
        <v>4</v>
      </c>
      <c r="E26" s="678" t="s">
        <v>8</v>
      </c>
      <c r="F26" s="679"/>
      <c r="G26" s="408"/>
      <c r="H26" s="408"/>
      <c r="I26" s="408"/>
      <c r="J26" s="408"/>
      <c r="K26" s="408"/>
      <c r="L26" s="408"/>
    </row>
    <row r="27" spans="1:12" ht="12" customHeight="1">
      <c r="A27" s="408"/>
      <c r="B27" s="680" t="s">
        <v>563</v>
      </c>
      <c r="C27" s="277">
        <f>C19*C21*(C4+C5+C6)</f>
        <v>0</v>
      </c>
      <c r="D27" s="269">
        <v>1</v>
      </c>
      <c r="E27" s="275">
        <f t="shared" ref="E27:E73" si="1">C27*D27</f>
        <v>0</v>
      </c>
      <c r="F27" s="681"/>
      <c r="G27" s="408"/>
      <c r="H27" s="408"/>
      <c r="I27" s="408"/>
      <c r="J27" s="408"/>
      <c r="K27" s="408"/>
      <c r="L27" s="408"/>
    </row>
    <row r="28" spans="1:12" ht="12" customHeight="1">
      <c r="A28" s="408"/>
      <c r="B28" s="682" t="s">
        <v>564</v>
      </c>
      <c r="C28" s="270">
        <f>C20*C21*(C4+C5+C6)</f>
        <v>0</v>
      </c>
      <c r="D28" s="266"/>
      <c r="E28" s="275">
        <f t="shared" si="1"/>
        <v>0</v>
      </c>
      <c r="F28" s="408"/>
      <c r="G28" s="408"/>
      <c r="H28" s="408"/>
      <c r="I28" s="408"/>
      <c r="J28" s="408"/>
      <c r="K28" s="408"/>
      <c r="L28" s="408"/>
    </row>
    <row r="29" spans="1:12" ht="12" customHeight="1">
      <c r="A29" s="408"/>
      <c r="B29" s="682" t="s">
        <v>117</v>
      </c>
      <c r="C29" s="270">
        <f>(C17+C18)*2*(C4+C5+C6)*C21</f>
        <v>0</v>
      </c>
      <c r="D29" s="266"/>
      <c r="E29" s="275">
        <f t="shared" si="1"/>
        <v>0</v>
      </c>
      <c r="F29" s="408"/>
      <c r="G29" s="408"/>
      <c r="H29" s="408"/>
      <c r="I29" s="408"/>
      <c r="J29" s="408"/>
      <c r="K29" s="408"/>
      <c r="L29" s="408"/>
    </row>
    <row r="30" spans="1:12" ht="12" customHeight="1">
      <c r="A30" s="408"/>
      <c r="B30" s="683" t="s">
        <v>420</v>
      </c>
      <c r="C30" s="271">
        <f>IF(AND(C7+C8+C11&gt;0,C9+C10+C12=0,C16=0),C21*2,0)</f>
        <v>0</v>
      </c>
      <c r="D30" s="260"/>
      <c r="E30" s="275">
        <f t="shared" si="1"/>
        <v>0</v>
      </c>
      <c r="F30" s="408"/>
      <c r="G30" s="408"/>
      <c r="H30" s="408"/>
      <c r="I30" s="408"/>
      <c r="J30" s="408"/>
      <c r="K30" s="408"/>
      <c r="L30" s="408"/>
    </row>
    <row r="31" spans="1:12" ht="12" customHeight="1">
      <c r="A31" s="408"/>
      <c r="B31" s="683" t="s">
        <v>421</v>
      </c>
      <c r="C31" s="272">
        <f>IF(AND(C7+C8+C11&gt;0,C9+C10+C12=0,C16=1),C21*2,0)</f>
        <v>0</v>
      </c>
      <c r="D31" s="262"/>
      <c r="E31" s="275">
        <f t="shared" si="1"/>
        <v>0</v>
      </c>
      <c r="F31" s="408"/>
      <c r="G31" s="408"/>
      <c r="H31" s="408"/>
      <c r="I31" s="408"/>
      <c r="J31" s="408"/>
      <c r="K31" s="408"/>
      <c r="L31" s="408"/>
    </row>
    <row r="32" spans="1:12" ht="12" customHeight="1">
      <c r="A32" s="408"/>
      <c r="B32" s="683" t="s">
        <v>420</v>
      </c>
      <c r="C32" s="271">
        <f>IF(AND(C7+C8+C11=0,C9+C10+C12&gt;0,C16=0),C21,0)</f>
        <v>0</v>
      </c>
      <c r="D32" s="260"/>
      <c r="E32" s="275">
        <f t="shared" si="1"/>
        <v>0</v>
      </c>
      <c r="F32" s="408"/>
      <c r="G32" s="408"/>
      <c r="H32" s="408"/>
      <c r="I32" s="408"/>
      <c r="J32" s="408"/>
      <c r="K32" s="408"/>
      <c r="L32" s="408"/>
    </row>
    <row r="33" spans="1:12" ht="12" customHeight="1">
      <c r="A33" s="408"/>
      <c r="B33" s="683" t="s">
        <v>421</v>
      </c>
      <c r="C33" s="272">
        <f>IF(AND(C7+C8+C11=0,C9+C10+C12&gt;0,C16=1),C21,0)</f>
        <v>0</v>
      </c>
      <c r="D33" s="262"/>
      <c r="E33" s="275">
        <f t="shared" si="1"/>
        <v>0</v>
      </c>
      <c r="F33" s="408"/>
      <c r="G33" s="408"/>
      <c r="H33" s="408"/>
      <c r="I33" s="408"/>
      <c r="J33" s="408"/>
      <c r="K33" s="408"/>
      <c r="L33" s="408"/>
    </row>
    <row r="34" spans="1:12" ht="12" customHeight="1">
      <c r="A34" s="408"/>
      <c r="B34" s="683" t="s">
        <v>513</v>
      </c>
      <c r="C34" s="271">
        <f>IF(AND(C7+C8+C11&gt;0,C9+C10+C12=0,C16=0),(((C4+C5+C6)-1)+C22)*C21,0)</f>
        <v>0</v>
      </c>
      <c r="D34" s="260"/>
      <c r="E34" s="275">
        <f t="shared" si="1"/>
        <v>0</v>
      </c>
      <c r="F34" s="408"/>
      <c r="G34" s="408"/>
      <c r="H34" s="408"/>
      <c r="I34" s="408"/>
      <c r="J34" s="408"/>
      <c r="K34" s="408"/>
      <c r="L34" s="408"/>
    </row>
    <row r="35" spans="1:12" ht="12" customHeight="1">
      <c r="A35" s="408"/>
      <c r="B35" s="683" t="s">
        <v>512</v>
      </c>
      <c r="C35" s="272">
        <f>IF(AND(C7+C8+C11&gt;0,C9+C10+C12=0,C16=1),(((C4+C5+C6)-1)+C22)*C21,0)</f>
        <v>0</v>
      </c>
      <c r="D35" s="262"/>
      <c r="E35" s="275">
        <f t="shared" si="1"/>
        <v>0</v>
      </c>
      <c r="F35" s="408"/>
      <c r="G35" s="408"/>
      <c r="H35" s="408"/>
      <c r="I35" s="408"/>
      <c r="J35" s="408"/>
      <c r="K35" s="408"/>
      <c r="L35" s="408"/>
    </row>
    <row r="36" spans="1:12" ht="12" customHeight="1">
      <c r="A36" s="408"/>
      <c r="B36" s="683" t="s">
        <v>513</v>
      </c>
      <c r="C36" s="271">
        <f>IF(AND(C7+C8+C11=0,C9+C10+C12&gt;0,C16=0),((C4+C5+C6)+C22)*C21,0)</f>
        <v>0</v>
      </c>
      <c r="D36" s="260"/>
      <c r="E36" s="275">
        <f t="shared" si="1"/>
        <v>0</v>
      </c>
      <c r="F36" s="526"/>
      <c r="G36" s="408"/>
      <c r="H36" s="408"/>
      <c r="I36" s="408"/>
      <c r="J36" s="408"/>
      <c r="K36" s="408"/>
      <c r="L36" s="408"/>
    </row>
    <row r="37" spans="1:12" ht="12" customHeight="1">
      <c r="A37" s="408"/>
      <c r="B37" s="683" t="s">
        <v>512</v>
      </c>
      <c r="C37" s="272">
        <f>IF(AND(C7+C8+C11=0,C9+C10+C12&gt;0,C16=1),((C4+C5+C6)+C22)*C21,0)</f>
        <v>0</v>
      </c>
      <c r="D37" s="262"/>
      <c r="E37" s="275">
        <f t="shared" si="1"/>
        <v>0</v>
      </c>
      <c r="F37" s="684"/>
      <c r="G37" s="408"/>
      <c r="H37" s="408"/>
      <c r="I37" s="408"/>
      <c r="J37" s="408"/>
      <c r="K37" s="408"/>
      <c r="L37" s="408"/>
    </row>
    <row r="38" spans="1:12" ht="12" customHeight="1">
      <c r="A38" s="408"/>
      <c r="B38" s="682" t="s">
        <v>642</v>
      </c>
      <c r="C38" s="272">
        <f>IF(C15=0,C21*2,0)</f>
        <v>0</v>
      </c>
      <c r="D38" s="262"/>
      <c r="E38" s="275">
        <f t="shared" si="1"/>
        <v>0</v>
      </c>
      <c r="F38" s="684"/>
      <c r="G38" s="408"/>
      <c r="H38" s="408"/>
      <c r="I38" s="408"/>
      <c r="J38" s="408"/>
      <c r="K38" s="408"/>
      <c r="L38" s="408"/>
    </row>
    <row r="39" spans="1:12" ht="12" customHeight="1">
      <c r="A39" s="408"/>
      <c r="B39" s="683" t="s">
        <v>644</v>
      </c>
      <c r="C39" s="271">
        <f>C15*C21*(C4+C5+C6+1+C22)</f>
        <v>0</v>
      </c>
      <c r="D39" s="264"/>
      <c r="E39" s="275">
        <f t="shared" si="1"/>
        <v>0</v>
      </c>
      <c r="F39" s="684"/>
      <c r="G39" s="408"/>
      <c r="H39" s="408"/>
      <c r="I39" s="408"/>
      <c r="J39" s="408"/>
      <c r="K39" s="408"/>
      <c r="L39" s="408"/>
    </row>
    <row r="40" spans="1:12" ht="12" customHeight="1">
      <c r="A40" s="408"/>
      <c r="B40" s="683" t="s">
        <v>514</v>
      </c>
      <c r="C40" s="271">
        <f>((C4+C5+C6)-1)*C21</f>
        <v>0</v>
      </c>
      <c r="D40" s="260"/>
      <c r="E40" s="275">
        <f t="shared" si="1"/>
        <v>0</v>
      </c>
      <c r="F40" s="684"/>
      <c r="G40" s="408"/>
      <c r="H40" s="408"/>
      <c r="I40" s="408"/>
      <c r="J40" s="408"/>
      <c r="K40" s="408"/>
      <c r="L40" s="408"/>
    </row>
    <row r="41" spans="1:12" ht="12" customHeight="1">
      <c r="A41" s="408"/>
      <c r="B41" s="685" t="s">
        <v>506</v>
      </c>
      <c r="C41" s="273">
        <f>((C4+C5+C6)-1+C22)*C21</f>
        <v>0</v>
      </c>
      <c r="D41" s="260"/>
      <c r="E41" s="275">
        <f t="shared" si="1"/>
        <v>0</v>
      </c>
      <c r="F41" s="684"/>
      <c r="G41" s="408"/>
      <c r="H41" s="408"/>
      <c r="I41" s="408"/>
      <c r="J41" s="408"/>
      <c r="K41" s="408"/>
      <c r="L41" s="408"/>
    </row>
    <row r="42" spans="1:12" ht="12" customHeight="1">
      <c r="A42" s="408"/>
      <c r="B42" s="685" t="s">
        <v>515</v>
      </c>
      <c r="C42" s="273">
        <f>((C4+C5+C6)-1+C22)*C21</f>
        <v>0</v>
      </c>
      <c r="D42" s="260"/>
      <c r="E42" s="275">
        <f t="shared" si="1"/>
        <v>0</v>
      </c>
      <c r="F42" s="684"/>
      <c r="G42" s="408"/>
      <c r="H42" s="408"/>
      <c r="I42" s="408"/>
      <c r="J42" s="408"/>
      <c r="K42" s="408"/>
      <c r="L42" s="408"/>
    </row>
    <row r="43" spans="1:12" ht="12" customHeight="1">
      <c r="A43" s="408"/>
      <c r="B43" s="685" t="s">
        <v>508</v>
      </c>
      <c r="C43" s="273">
        <f>C22*C21</f>
        <v>0</v>
      </c>
      <c r="D43" s="260"/>
      <c r="E43" s="275">
        <f t="shared" si="1"/>
        <v>0</v>
      </c>
      <c r="F43" s="684"/>
      <c r="G43" s="408"/>
      <c r="H43" s="408"/>
      <c r="I43" s="408"/>
      <c r="J43" s="408"/>
      <c r="K43" s="408"/>
      <c r="L43" s="408"/>
    </row>
    <row r="44" spans="1:12" ht="12" customHeight="1">
      <c r="A44" s="408"/>
      <c r="B44" s="683" t="s">
        <v>505</v>
      </c>
      <c r="C44" s="271">
        <f>((C4+C5+C6)-1)*C21</f>
        <v>0</v>
      </c>
      <c r="D44" s="260"/>
      <c r="E44" s="275">
        <f t="shared" si="1"/>
        <v>0</v>
      </c>
      <c r="F44" s="684"/>
      <c r="G44" s="408"/>
      <c r="H44" s="408"/>
      <c r="I44" s="408"/>
      <c r="J44" s="408"/>
      <c r="K44" s="408"/>
      <c r="L44" s="408"/>
    </row>
    <row r="45" spans="1:12" ht="12" customHeight="1">
      <c r="A45" s="408"/>
      <c r="B45" s="683" t="s">
        <v>432</v>
      </c>
      <c r="C45" s="270">
        <f>IF(C5+C6=0,(C40+C44+C64),0)</f>
        <v>0</v>
      </c>
      <c r="D45" s="261"/>
      <c r="E45" s="275">
        <f t="shared" si="1"/>
        <v>0</v>
      </c>
      <c r="F45" s="684"/>
      <c r="G45" s="408"/>
      <c r="H45" s="408"/>
      <c r="I45" s="408"/>
      <c r="J45" s="408"/>
      <c r="K45" s="408"/>
      <c r="L45" s="408"/>
    </row>
    <row r="46" spans="1:12" ht="12" customHeight="1">
      <c r="A46" s="408"/>
      <c r="B46" s="683" t="s">
        <v>433</v>
      </c>
      <c r="C46" s="271">
        <f>IF(AND(C5+C6=0,C4&gt;0),(C40+C44+C64)+1,0)</f>
        <v>0</v>
      </c>
      <c r="D46" s="260"/>
      <c r="E46" s="275">
        <f t="shared" si="1"/>
        <v>0</v>
      </c>
      <c r="F46" s="684"/>
      <c r="G46" s="408"/>
      <c r="H46" s="408"/>
      <c r="I46" s="408"/>
      <c r="J46" s="408"/>
      <c r="K46" s="408"/>
      <c r="L46" s="408"/>
    </row>
    <row r="47" spans="1:12" ht="12" customHeight="1">
      <c r="A47" s="408"/>
      <c r="B47" s="683" t="s">
        <v>600</v>
      </c>
      <c r="C47" s="271">
        <f>IF(AND(C4+C5=0,C6&gt;0),(C40+C44+C64),0)</f>
        <v>0</v>
      </c>
      <c r="D47" s="260"/>
      <c r="E47" s="275">
        <f>C47*D47</f>
        <v>0</v>
      </c>
      <c r="F47" s="684"/>
      <c r="G47" s="408"/>
      <c r="H47" s="408"/>
      <c r="I47" s="408"/>
      <c r="J47" s="408"/>
      <c r="K47" s="408"/>
      <c r="L47" s="408"/>
    </row>
    <row r="48" spans="1:12" ht="12" customHeight="1">
      <c r="A48" s="408"/>
      <c r="B48" s="683" t="s">
        <v>434</v>
      </c>
      <c r="C48" s="271">
        <f>IF(AND(C4=0,(C5+C6)&gt;0),(C40+C44+C64),0)</f>
        <v>0</v>
      </c>
      <c r="D48" s="260"/>
      <c r="E48" s="275">
        <f t="shared" si="1"/>
        <v>0</v>
      </c>
      <c r="F48" s="684"/>
      <c r="G48" s="408"/>
      <c r="H48" s="408"/>
      <c r="I48" s="408"/>
      <c r="J48" s="408"/>
      <c r="K48" s="408"/>
      <c r="L48" s="408"/>
    </row>
    <row r="49" spans="1:12" ht="12" customHeight="1">
      <c r="A49" s="408"/>
      <c r="B49" s="682" t="s">
        <v>474</v>
      </c>
      <c r="C49" s="271">
        <f>C2*C21</f>
        <v>0</v>
      </c>
      <c r="D49" s="260"/>
      <c r="E49" s="275">
        <f t="shared" si="1"/>
        <v>0</v>
      </c>
      <c r="F49" s="408"/>
      <c r="G49" s="408"/>
      <c r="H49" s="408"/>
      <c r="I49" s="408"/>
      <c r="J49" s="408"/>
      <c r="K49" s="408"/>
      <c r="L49" s="408"/>
    </row>
    <row r="50" spans="1:12" ht="12" customHeight="1">
      <c r="A50" s="408"/>
      <c r="B50" s="682" t="s">
        <v>474</v>
      </c>
      <c r="C50" s="271">
        <f>C2*C19*C21</f>
        <v>0</v>
      </c>
      <c r="D50" s="264"/>
      <c r="E50" s="275">
        <f t="shared" si="1"/>
        <v>0</v>
      </c>
      <c r="F50" s="408"/>
      <c r="G50" s="408"/>
      <c r="H50" s="408"/>
      <c r="I50" s="408"/>
      <c r="J50" s="408"/>
      <c r="K50" s="408"/>
      <c r="L50" s="408"/>
    </row>
    <row r="51" spans="1:12" ht="12" customHeight="1">
      <c r="A51" s="408"/>
      <c r="B51" s="683" t="s">
        <v>363</v>
      </c>
      <c r="C51" s="271">
        <f>C18*2*C2*C21</f>
        <v>0</v>
      </c>
      <c r="D51" s="264"/>
      <c r="E51" s="275">
        <f t="shared" si="1"/>
        <v>0</v>
      </c>
      <c r="F51" s="408"/>
      <c r="G51" s="408"/>
      <c r="H51" s="408"/>
      <c r="I51" s="408"/>
      <c r="J51" s="408"/>
      <c r="K51" s="408"/>
      <c r="L51" s="408"/>
    </row>
    <row r="52" spans="1:12" ht="12" customHeight="1">
      <c r="A52" s="408"/>
      <c r="B52" s="683" t="s">
        <v>477</v>
      </c>
      <c r="C52" s="271">
        <f>(C17+C20)*C2</f>
        <v>0</v>
      </c>
      <c r="D52" s="260"/>
      <c r="E52" s="275">
        <f t="shared" si="1"/>
        <v>0</v>
      </c>
      <c r="F52" s="408"/>
      <c r="G52" s="408"/>
      <c r="H52" s="408"/>
      <c r="I52" s="408"/>
      <c r="J52" s="408"/>
      <c r="K52" s="408"/>
      <c r="L52" s="408"/>
    </row>
    <row r="53" spans="1:12" ht="12" customHeight="1">
      <c r="A53" s="408"/>
      <c r="B53" s="683" t="s">
        <v>467</v>
      </c>
      <c r="C53" s="271">
        <f>C21*C2*C19</f>
        <v>0</v>
      </c>
      <c r="D53" s="260"/>
      <c r="E53" s="275">
        <f t="shared" si="1"/>
        <v>0</v>
      </c>
      <c r="F53" s="686"/>
      <c r="G53" s="408"/>
      <c r="H53" s="408"/>
      <c r="I53" s="408"/>
      <c r="J53" s="408"/>
      <c r="K53" s="408"/>
      <c r="L53" s="408"/>
    </row>
    <row r="54" spans="1:12" ht="12" customHeight="1">
      <c r="A54" s="408"/>
      <c r="B54" s="683" t="s">
        <v>645</v>
      </c>
      <c r="C54" s="271">
        <f>C20*C2*C21</f>
        <v>0</v>
      </c>
      <c r="D54" s="264"/>
      <c r="E54" s="275">
        <f t="shared" si="1"/>
        <v>0</v>
      </c>
      <c r="F54" s="686"/>
      <c r="G54" s="408"/>
      <c r="H54" s="408"/>
      <c r="I54" s="408"/>
      <c r="J54" s="408"/>
      <c r="K54" s="408"/>
      <c r="L54" s="408"/>
    </row>
    <row r="55" spans="1:12" ht="12" customHeight="1">
      <c r="A55" s="408"/>
      <c r="B55" s="683" t="s">
        <v>364</v>
      </c>
      <c r="C55" s="271">
        <f>C2*C17*C21</f>
        <v>0</v>
      </c>
      <c r="D55" s="264"/>
      <c r="E55" s="275">
        <f t="shared" si="1"/>
        <v>0</v>
      </c>
      <c r="F55" s="686"/>
      <c r="G55" s="408"/>
      <c r="H55" s="408"/>
      <c r="I55" s="408"/>
      <c r="J55" s="408"/>
      <c r="K55" s="408"/>
      <c r="L55" s="408"/>
    </row>
    <row r="56" spans="1:12" ht="12" customHeight="1">
      <c r="A56" s="408"/>
      <c r="B56" s="683" t="s">
        <v>365</v>
      </c>
      <c r="C56" s="278">
        <f>C2*C18*C21</f>
        <v>0</v>
      </c>
      <c r="D56" s="264"/>
      <c r="E56" s="275">
        <f t="shared" si="1"/>
        <v>0</v>
      </c>
      <c r="F56" s="686"/>
      <c r="G56" s="408"/>
      <c r="H56" s="408"/>
      <c r="I56" s="408"/>
      <c r="J56" s="408"/>
      <c r="K56" s="408"/>
      <c r="L56" s="408"/>
    </row>
    <row r="57" spans="1:12" ht="12" customHeight="1">
      <c r="A57" s="408"/>
      <c r="B57" s="683" t="s">
        <v>424</v>
      </c>
      <c r="C57" s="272">
        <f>C39*2</f>
        <v>0</v>
      </c>
      <c r="D57" s="265"/>
      <c r="E57" s="275">
        <f t="shared" si="1"/>
        <v>0</v>
      </c>
      <c r="F57" s="686"/>
      <c r="G57" s="408"/>
      <c r="H57" s="408"/>
      <c r="I57" s="408"/>
      <c r="J57" s="408"/>
      <c r="K57" s="408"/>
      <c r="L57" s="408"/>
    </row>
    <row r="58" spans="1:12" ht="12" customHeight="1">
      <c r="A58" s="408"/>
      <c r="B58" s="683" t="s">
        <v>643</v>
      </c>
      <c r="C58" s="272">
        <f>IF(C15=1,C21*2,0)</f>
        <v>0</v>
      </c>
      <c r="D58" s="265"/>
      <c r="E58" s="275">
        <f t="shared" si="1"/>
        <v>0</v>
      </c>
      <c r="F58" s="686"/>
      <c r="G58" s="408"/>
      <c r="H58" s="408"/>
      <c r="I58" s="408"/>
      <c r="J58" s="408"/>
      <c r="K58" s="408"/>
      <c r="L58" s="408"/>
    </row>
    <row r="59" spans="1:12" ht="12" customHeight="1">
      <c r="A59" s="408"/>
      <c r="B59" s="683" t="s">
        <v>641</v>
      </c>
      <c r="C59" s="271">
        <f>EVEN(ROUNDDOWN(IF(C15=1,C2*C21/0.5,0),0))</f>
        <v>0</v>
      </c>
      <c r="D59" s="264"/>
      <c r="E59" s="275">
        <f t="shared" si="1"/>
        <v>0</v>
      </c>
      <c r="F59" s="686"/>
      <c r="G59" s="408"/>
      <c r="H59" s="408"/>
      <c r="I59" s="408"/>
      <c r="J59" s="408"/>
      <c r="K59" s="408"/>
      <c r="L59" s="408"/>
    </row>
    <row r="60" spans="1:12" ht="12" customHeight="1">
      <c r="A60" s="408"/>
      <c r="B60" s="682" t="s">
        <v>676</v>
      </c>
      <c r="C60" s="278">
        <f>C15*C2*C21</f>
        <v>0</v>
      </c>
      <c r="D60" s="264"/>
      <c r="E60" s="275">
        <f t="shared" si="1"/>
        <v>0</v>
      </c>
      <c r="F60" s="686"/>
      <c r="G60" s="408"/>
      <c r="H60" s="408"/>
      <c r="I60" s="408"/>
      <c r="J60" s="408"/>
      <c r="K60" s="408"/>
      <c r="L60" s="408"/>
    </row>
    <row r="61" spans="1:12" ht="12" customHeight="1">
      <c r="A61" s="408"/>
      <c r="B61" s="682" t="s">
        <v>461</v>
      </c>
      <c r="C61" s="278">
        <f>IF(AND(C4&gt;0,C5+C6=0),C2*C21,0)</f>
        <v>0</v>
      </c>
      <c r="D61" s="260"/>
      <c r="E61" s="275">
        <f t="shared" si="1"/>
        <v>0</v>
      </c>
      <c r="F61" s="686"/>
      <c r="G61" s="408"/>
      <c r="H61" s="408"/>
      <c r="I61" s="408"/>
      <c r="J61" s="408"/>
      <c r="K61" s="408"/>
      <c r="L61" s="408"/>
    </row>
    <row r="62" spans="1:12" ht="12" customHeight="1">
      <c r="A62" s="408"/>
      <c r="B62" s="682" t="s">
        <v>462</v>
      </c>
      <c r="C62" s="278">
        <f>IF(AND(C5&gt;0,C4+C6=0),C2*C21,0)</f>
        <v>0</v>
      </c>
      <c r="D62" s="260"/>
      <c r="E62" s="275">
        <f t="shared" si="1"/>
        <v>0</v>
      </c>
      <c r="F62" s="686"/>
      <c r="G62" s="408"/>
      <c r="H62" s="408"/>
      <c r="I62" s="408"/>
      <c r="J62" s="408"/>
      <c r="K62" s="408"/>
      <c r="L62" s="408"/>
    </row>
    <row r="63" spans="1:12" ht="12" customHeight="1">
      <c r="A63" s="408"/>
      <c r="B63" s="682" t="s">
        <v>601</v>
      </c>
      <c r="C63" s="278">
        <f>IF(AND(C6&gt;0,(C4+C5)=0),C2*C21,0)</f>
        <v>0</v>
      </c>
      <c r="D63" s="260"/>
      <c r="E63" s="275">
        <f>C63*D63</f>
        <v>0</v>
      </c>
      <c r="F63" s="686"/>
      <c r="G63" s="408"/>
      <c r="H63" s="408"/>
      <c r="I63" s="408"/>
      <c r="J63" s="408"/>
      <c r="K63" s="408"/>
      <c r="L63" s="408"/>
    </row>
    <row r="64" spans="1:12" ht="12" customHeight="1">
      <c r="A64" s="408"/>
      <c r="B64" s="683" t="s">
        <v>647</v>
      </c>
      <c r="C64" s="278">
        <f>C21</f>
        <v>0</v>
      </c>
      <c r="D64" s="260"/>
      <c r="E64" s="275">
        <f t="shared" si="1"/>
        <v>0</v>
      </c>
      <c r="F64" s="686"/>
      <c r="G64" s="408"/>
      <c r="H64" s="408"/>
      <c r="I64" s="408"/>
      <c r="J64" s="408"/>
      <c r="K64" s="408"/>
      <c r="L64" s="408"/>
    </row>
    <row r="65" spans="1:12" ht="12" customHeight="1">
      <c r="A65" s="408"/>
      <c r="B65" s="455" t="s">
        <v>602</v>
      </c>
      <c r="C65" s="357">
        <f>C11*C21</f>
        <v>0</v>
      </c>
      <c r="D65" s="351"/>
      <c r="E65" s="347">
        <f t="shared" si="1"/>
        <v>0</v>
      </c>
      <c r="F65" s="686"/>
      <c r="G65" s="408"/>
      <c r="H65" s="408"/>
      <c r="I65" s="408"/>
      <c r="J65" s="408"/>
      <c r="K65" s="408"/>
      <c r="L65" s="408"/>
    </row>
    <row r="66" spans="1:12" ht="12" customHeight="1">
      <c r="A66" s="408"/>
      <c r="B66" s="455" t="s">
        <v>603</v>
      </c>
      <c r="C66" s="357">
        <f>C12*C21</f>
        <v>0</v>
      </c>
      <c r="D66" s="351"/>
      <c r="E66" s="347">
        <f t="shared" si="1"/>
        <v>0</v>
      </c>
      <c r="F66" s="686"/>
      <c r="G66" s="408"/>
      <c r="H66" s="408"/>
      <c r="I66" s="408"/>
      <c r="J66" s="408"/>
      <c r="K66" s="408"/>
      <c r="L66" s="408"/>
    </row>
    <row r="67" spans="1:12" ht="12" customHeight="1">
      <c r="A67" s="408"/>
      <c r="B67" s="687" t="s">
        <v>378</v>
      </c>
      <c r="C67" s="278">
        <f>C7*C21</f>
        <v>0</v>
      </c>
      <c r="D67" s="260"/>
      <c r="E67" s="275">
        <f t="shared" si="1"/>
        <v>0</v>
      </c>
      <c r="F67" s="408"/>
      <c r="G67" s="408"/>
      <c r="H67" s="408"/>
      <c r="I67" s="408"/>
      <c r="J67" s="408"/>
      <c r="K67" s="408"/>
      <c r="L67" s="408"/>
    </row>
    <row r="68" spans="1:12" ht="12" customHeight="1">
      <c r="A68" s="408"/>
      <c r="B68" s="685" t="s">
        <v>435</v>
      </c>
      <c r="C68" s="278">
        <f>C9*C21</f>
        <v>0</v>
      </c>
      <c r="D68" s="260"/>
      <c r="E68" s="275">
        <f t="shared" si="1"/>
        <v>0</v>
      </c>
      <c r="F68" s="408"/>
      <c r="G68" s="408"/>
      <c r="H68" s="408"/>
      <c r="I68" s="408"/>
      <c r="J68" s="408"/>
      <c r="K68" s="408"/>
      <c r="L68" s="408"/>
    </row>
    <row r="69" spans="1:12" ht="12" customHeight="1">
      <c r="A69" s="408"/>
      <c r="B69" s="685" t="s">
        <v>436</v>
      </c>
      <c r="C69" s="278">
        <f>C8*C21</f>
        <v>0</v>
      </c>
      <c r="D69" s="260"/>
      <c r="E69" s="275">
        <f t="shared" si="1"/>
        <v>0</v>
      </c>
      <c r="F69" s="408"/>
      <c r="G69" s="408"/>
      <c r="H69" s="408"/>
      <c r="I69" s="408"/>
      <c r="J69" s="408"/>
      <c r="K69" s="408"/>
      <c r="L69" s="408"/>
    </row>
    <row r="70" spans="1:12" ht="12" customHeight="1">
      <c r="A70" s="408"/>
      <c r="B70" s="775" t="s">
        <v>682</v>
      </c>
      <c r="C70" s="273">
        <f>IF(C4+C5+C6&gt;0,C4+C5+C6-1,0)</f>
        <v>0</v>
      </c>
      <c r="D70" s="776"/>
      <c r="E70" s="777">
        <f t="shared" si="1"/>
        <v>0</v>
      </c>
      <c r="F70" s="408"/>
      <c r="G70" s="408"/>
      <c r="H70" s="408"/>
      <c r="I70" s="408"/>
      <c r="J70" s="408"/>
      <c r="K70" s="408"/>
      <c r="L70" s="408"/>
    </row>
    <row r="71" spans="1:12" ht="12" customHeight="1">
      <c r="A71" s="408"/>
      <c r="B71" s="528" t="s">
        <v>145</v>
      </c>
      <c r="C71" s="509">
        <f>C24</f>
        <v>0</v>
      </c>
      <c r="D71" s="525"/>
      <c r="E71" s="403">
        <f t="shared" si="1"/>
        <v>0</v>
      </c>
      <c r="F71" s="408"/>
      <c r="G71" s="408"/>
      <c r="H71" s="408"/>
      <c r="I71" s="408"/>
      <c r="J71" s="408"/>
      <c r="K71" s="408"/>
      <c r="L71" s="408"/>
    </row>
    <row r="72" spans="1:12" ht="12" customHeight="1">
      <c r="A72" s="408"/>
      <c r="B72" s="528" t="s">
        <v>148</v>
      </c>
      <c r="C72" s="509">
        <f>C23</f>
        <v>0</v>
      </c>
      <c r="D72" s="525"/>
      <c r="E72" s="403">
        <f t="shared" si="1"/>
        <v>0</v>
      </c>
      <c r="F72" s="408"/>
      <c r="G72" s="408"/>
      <c r="H72" s="408"/>
      <c r="I72" s="408"/>
      <c r="J72" s="408"/>
      <c r="K72" s="408"/>
      <c r="L72" s="408"/>
    </row>
    <row r="73" spans="1:12" ht="12" customHeight="1" thickBot="1">
      <c r="A73" s="408"/>
      <c r="B73" s="688" t="s">
        <v>437</v>
      </c>
      <c r="C73" s="274">
        <f>C10*C21</f>
        <v>0</v>
      </c>
      <c r="D73" s="263"/>
      <c r="E73" s="276">
        <f t="shared" si="1"/>
        <v>0</v>
      </c>
      <c r="F73" s="408"/>
      <c r="G73" s="408"/>
      <c r="H73" s="408"/>
      <c r="I73" s="408"/>
      <c r="J73" s="408"/>
      <c r="K73" s="408"/>
      <c r="L73" s="408"/>
    </row>
    <row r="74" spans="1:12" ht="12" customHeight="1" thickBot="1">
      <c r="A74" s="408"/>
      <c r="B74" s="408"/>
      <c r="C74" s="408"/>
      <c r="D74" s="689" t="s">
        <v>9</v>
      </c>
      <c r="E74" s="690">
        <f>SUMIF(E27:E73,"&gt;0",E27:E73)</f>
        <v>0</v>
      </c>
      <c r="F74" s="408"/>
      <c r="G74" s="408"/>
      <c r="H74" s="408"/>
      <c r="I74" s="408"/>
      <c r="J74" s="408"/>
      <c r="K74" s="408"/>
      <c r="L74" s="408"/>
    </row>
    <row r="75" spans="1:12">
      <c r="A75" s="408"/>
      <c r="B75" s="408"/>
      <c r="C75" s="408"/>
      <c r="D75" s="408"/>
      <c r="E75" s="408"/>
      <c r="F75" s="408"/>
      <c r="G75" s="408"/>
      <c r="H75" s="408"/>
      <c r="I75" s="408"/>
      <c r="J75" s="408"/>
      <c r="K75" s="408"/>
      <c r="L75" s="408"/>
    </row>
    <row r="76" spans="1:12">
      <c r="A76" s="408"/>
      <c r="B76" s="408"/>
      <c r="C76" s="408"/>
      <c r="D76" s="408"/>
      <c r="E76" s="408"/>
      <c r="F76" s="408"/>
      <c r="G76" s="408"/>
      <c r="H76" s="408"/>
      <c r="I76" s="408"/>
      <c r="J76" s="408"/>
      <c r="K76" s="408"/>
      <c r="L76" s="408"/>
    </row>
    <row r="77" spans="1:12" ht="11.25" customHeight="1">
      <c r="A77" s="408"/>
      <c r="B77" s="408"/>
      <c r="C77" s="408"/>
      <c r="D77" s="408"/>
      <c r="E77" s="408"/>
      <c r="F77" s="408"/>
      <c r="G77" s="408"/>
      <c r="H77" s="408"/>
      <c r="I77" s="408"/>
      <c r="J77" s="408"/>
      <c r="K77" s="408"/>
      <c r="L77" s="408"/>
    </row>
    <row r="78" spans="1:12">
      <c r="A78" s="408"/>
      <c r="B78" s="408"/>
      <c r="C78" s="408"/>
      <c r="D78" s="408"/>
      <c r="E78" s="408"/>
      <c r="F78" s="408"/>
      <c r="G78" s="408"/>
      <c r="H78" s="408"/>
      <c r="I78" s="408"/>
      <c r="J78" s="408"/>
      <c r="K78" s="408"/>
      <c r="L78" s="408"/>
    </row>
    <row r="79" spans="1:12">
      <c r="A79" s="408"/>
      <c r="B79" s="408"/>
      <c r="C79" s="408"/>
      <c r="D79" s="408"/>
      <c r="E79" s="408"/>
      <c r="F79" s="408"/>
      <c r="G79" s="408"/>
      <c r="H79" s="408"/>
      <c r="I79" s="408"/>
      <c r="J79" s="408"/>
      <c r="K79" s="408"/>
      <c r="L79" s="408"/>
    </row>
    <row r="80" spans="1:12">
      <c r="A80" s="408"/>
      <c r="B80" s="408"/>
      <c r="C80" s="408"/>
      <c r="D80" s="408"/>
      <c r="E80" s="408"/>
      <c r="F80" s="408"/>
      <c r="G80" s="408"/>
      <c r="H80" s="408"/>
      <c r="I80" s="408"/>
      <c r="J80" s="408"/>
      <c r="K80" s="408"/>
      <c r="L80" s="408"/>
    </row>
    <row r="82" ht="11.25" customHeight="1"/>
  </sheetData>
  <sheetProtection algorithmName="SHA-512" hashValue="ZHabnqgNIC022xZF1H/9dVuFWkkoZ7DgDDZZyn93/fk6bhaZBB87NNx+SRAuv74R6BjuB5kHDUB1ocHhfUC/pg==" saltValue="IyVrLpX7hDz+ueeULiwhrA==" spinCount="100000" sheet="1"/>
  <mergeCells count="10">
    <mergeCell ref="D23:F23"/>
    <mergeCell ref="D24:F24"/>
    <mergeCell ref="F14:F16"/>
    <mergeCell ref="D22:F22"/>
    <mergeCell ref="B1:E1"/>
    <mergeCell ref="D2:F3"/>
    <mergeCell ref="D4:F6"/>
    <mergeCell ref="F7:F12"/>
    <mergeCell ref="F17:F20"/>
    <mergeCell ref="D21:F21"/>
  </mergeCells>
  <conditionalFormatting sqref="C13">
    <cfRule type="cellIs" dxfId="468" priority="48" operator="greaterThan">
      <formula>0</formula>
    </cfRule>
  </conditionalFormatting>
  <conditionalFormatting sqref="C13">
    <cfRule type="cellIs" dxfId="467" priority="47" operator="greaterThan">
      <formula>0</formula>
    </cfRule>
  </conditionalFormatting>
  <conditionalFormatting sqref="C27:E70">
    <cfRule type="cellIs" dxfId="466" priority="46" operator="greaterThan">
      <formula>0</formula>
    </cfRule>
  </conditionalFormatting>
  <conditionalFormatting sqref="C66:E66">
    <cfRule type="cellIs" dxfId="465" priority="45" operator="greaterThan">
      <formula>0</formula>
    </cfRule>
  </conditionalFormatting>
  <conditionalFormatting sqref="C65:E66">
    <cfRule type="cellIs" dxfId="464" priority="44" operator="greaterThan">
      <formula>0</formula>
    </cfRule>
  </conditionalFormatting>
  <conditionalFormatting sqref="J3:J19">
    <cfRule type="cellIs" dxfId="463" priority="17" operator="greaterThan">
      <formula>0</formula>
    </cfRule>
    <cfRule type="cellIs" dxfId="462" priority="18" operator="greaterThan">
      <formula>0</formula>
    </cfRule>
  </conditionalFormatting>
  <conditionalFormatting sqref="H10:H12">
    <cfRule type="iconSet" priority="42">
      <iconSet iconSet="3Symbols">
        <cfvo type="percent" val="0"/>
        <cfvo type="percent" val="33"/>
        <cfvo type="percent" val="67"/>
      </iconSet>
    </cfRule>
    <cfRule type="expression" priority="43">
      <formula>"H71=1"</formula>
    </cfRule>
  </conditionalFormatting>
  <conditionalFormatting sqref="H10">
    <cfRule type="iconSet" priority="41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461" priority="38" operator="equal">
      <formula>"ДА"</formula>
    </cfRule>
    <cfRule type="cellIs" dxfId="460" priority="39" operator="equal">
      <formula>"НЕТ"</formula>
    </cfRule>
  </conditionalFormatting>
  <conditionalFormatting sqref="I3:I4 I6:I8">
    <cfRule type="colorScale" priority="4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459" priority="35" operator="equal">
      <formula>"ДА"</formula>
    </cfRule>
    <cfRule type="cellIs" dxfId="458" priority="36" operator="equal">
      <formula>"НЕТ"</formula>
    </cfRule>
  </conditionalFormatting>
  <conditionalFormatting sqref="I5">
    <cfRule type="cellIs" dxfId="457" priority="32" operator="equal">
      <formula>"ДА"</formula>
    </cfRule>
    <cfRule type="cellIs" dxfId="456" priority="33" operator="equal">
      <formula>"НЕТ"</formula>
    </cfRule>
  </conditionalFormatting>
  <conditionalFormatting sqref="I9">
    <cfRule type="colorScale" priority="3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455" priority="28" operator="equal">
      <formula>"ДА"</formula>
    </cfRule>
    <cfRule type="cellIs" dxfId="454" priority="29" operator="equal">
      <formula>"НЕТ"</formula>
    </cfRule>
  </conditionalFormatting>
  <conditionalFormatting sqref="I5">
    <cfRule type="colorScale" priority="3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0">
      <iconSet iconSet="3Symbols">
        <cfvo type="percent" val="0"/>
        <cfvo type="percent" val="33"/>
        <cfvo type="percent" val="67"/>
      </iconSet>
    </cfRule>
    <cfRule type="expression" priority="31">
      <formula>"H71=1"</formula>
    </cfRule>
  </conditionalFormatting>
  <conditionalFormatting sqref="I14">
    <cfRule type="cellIs" dxfId="453" priority="24" operator="equal">
      <formula>"ДА"</formula>
    </cfRule>
    <cfRule type="cellIs" dxfId="452" priority="25" operator="equal">
      <formula>"НЕТ"</formula>
    </cfRule>
  </conditionalFormatting>
  <conditionalFormatting sqref="H14">
    <cfRule type="iconSet" priority="26">
      <iconSet iconSet="3Symbols">
        <cfvo type="percent" val="0"/>
        <cfvo type="percent" val="33"/>
        <cfvo type="percent" val="67"/>
      </iconSet>
    </cfRule>
    <cfRule type="expression" priority="27">
      <formula>"H71=1"</formula>
    </cfRule>
  </conditionalFormatting>
  <conditionalFormatting sqref="I18">
    <cfRule type="cellIs" dxfId="451" priority="22" operator="equal">
      <formula>"ДА"</formula>
    </cfRule>
    <cfRule type="cellIs" dxfId="450" priority="23" operator="equal">
      <formula>"НЕТ"</formula>
    </cfRule>
  </conditionalFormatting>
  <conditionalFormatting sqref="I19">
    <cfRule type="cellIs" dxfId="449" priority="20" operator="equal">
      <formula>"ДА"</formula>
    </cfRule>
    <cfRule type="cellIs" dxfId="448" priority="21" operator="equal">
      <formula>"НЕТ"</formula>
    </cfRule>
  </conditionalFormatting>
  <conditionalFormatting sqref="K3:K19">
    <cfRule type="cellIs" dxfId="447" priority="19" operator="greaterThan">
      <formula>0</formula>
    </cfRule>
  </conditionalFormatting>
  <conditionalFormatting sqref="I15:I19">
    <cfRule type="cellIs" dxfId="446" priority="16" operator="equal">
      <formula>"НЕТ"</formula>
    </cfRule>
  </conditionalFormatting>
  <conditionalFormatting sqref="I3:I19">
    <cfRule type="cellIs" dxfId="445" priority="14" operator="equal">
      <formula>"НЕТ"</formula>
    </cfRule>
    <cfRule type="cellIs" dxfId="444" priority="15" operator="equal">
      <formula>"ДА"</formula>
    </cfRule>
  </conditionalFormatting>
  <conditionalFormatting sqref="I3:I18">
    <cfRule type="cellIs" dxfId="443" priority="13" operator="equal">
      <formula>"ДА"</formula>
    </cfRule>
  </conditionalFormatting>
  <conditionalFormatting sqref="I5">
    <cfRule type="cellIs" dxfId="442" priority="10" operator="equal">
      <formula>"ДА"</formula>
    </cfRule>
    <cfRule type="cellIs" dxfId="441" priority="11" operator="equal">
      <formula>"НЕТ"</formula>
    </cfRule>
  </conditionalFormatting>
  <conditionalFormatting sqref="I5">
    <cfRule type="colorScale" priority="1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440" priority="7" operator="equal">
      <formula>"ДА"</formula>
    </cfRule>
    <cfRule type="cellIs" dxfId="439" priority="8" operator="equal">
      <formula>"НЕТ"</formula>
    </cfRule>
  </conditionalFormatting>
  <conditionalFormatting sqref="I9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22">
    <cfRule type="cellIs" dxfId="438" priority="6" operator="greaterThan">
      <formula>0</formula>
    </cfRule>
  </conditionalFormatting>
  <conditionalFormatting sqref="C73:E73">
    <cfRule type="cellIs" dxfId="437" priority="5" operator="greaterThan">
      <formula>0</formula>
    </cfRule>
  </conditionalFormatting>
  <conditionalFormatting sqref="E74">
    <cfRule type="cellIs" dxfId="436" priority="4" operator="greaterThan">
      <formula>0</formula>
    </cfRule>
  </conditionalFormatting>
  <conditionalFormatting sqref="J3:K19">
    <cfRule type="cellIs" dxfId="435" priority="3" operator="greaterThan">
      <formula>0</formula>
    </cfRule>
  </conditionalFormatting>
  <conditionalFormatting sqref="C23:C24">
    <cfRule type="cellIs" dxfId="434" priority="2" operator="greaterThan">
      <formula>0</formula>
    </cfRule>
  </conditionalFormatting>
  <conditionalFormatting sqref="C71:E72">
    <cfRule type="cellIs" dxfId="43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/>
  <dimension ref="A1:L77"/>
  <sheetViews>
    <sheetView workbookViewId="0">
      <pane ySplit="22" topLeftCell="A53" activePane="bottomLeft" state="frozen"/>
      <selection pane="bottomLeft" activeCell="D53" sqref="D53"/>
    </sheetView>
  </sheetViews>
  <sheetFormatPr defaultRowHeight="11.25"/>
  <cols>
    <col min="2" max="2" width="55" customWidth="1"/>
    <col min="3" max="3" width="10" bestFit="1" customWidth="1"/>
    <col min="4" max="4" width="11.6640625" customWidth="1"/>
    <col min="5" max="5" width="12.5" customWidth="1"/>
    <col min="6" max="6" width="20.33203125" customWidth="1"/>
    <col min="7" max="7" width="5.1640625" customWidth="1"/>
    <col min="8" max="8" width="48.83203125" customWidth="1"/>
    <col min="9" max="9" width="4.83203125" customWidth="1"/>
  </cols>
  <sheetData>
    <row r="1" spans="1:12" ht="54" customHeight="1" thickBot="1">
      <c r="A1" s="408"/>
      <c r="B1" s="1313"/>
      <c r="C1" s="1313"/>
      <c r="D1" s="1313"/>
      <c r="E1" s="1313"/>
      <c r="F1" s="408"/>
      <c r="G1" s="408"/>
      <c r="H1" s="408"/>
      <c r="I1" s="408"/>
      <c r="J1" s="408"/>
      <c r="K1" s="408"/>
      <c r="L1" s="408"/>
    </row>
    <row r="2" spans="1:12" ht="11.25" customHeight="1" thickBot="1">
      <c r="A2" s="442"/>
      <c r="B2" s="410" t="s">
        <v>666</v>
      </c>
      <c r="C2" s="594">
        <v>0</v>
      </c>
      <c r="D2" s="1238" t="s">
        <v>595</v>
      </c>
      <c r="E2" s="1239"/>
      <c r="F2" s="1240"/>
      <c r="G2" s="484"/>
      <c r="H2" s="412" t="s">
        <v>485</v>
      </c>
      <c r="I2" s="691" t="s">
        <v>604</v>
      </c>
      <c r="J2" s="413" t="s">
        <v>4</v>
      </c>
      <c r="K2" s="414" t="s">
        <v>8</v>
      </c>
      <c r="L2" s="408"/>
    </row>
    <row r="3" spans="1:12" ht="13.5" thickBot="1">
      <c r="A3" s="442"/>
      <c r="B3" s="415" t="s">
        <v>667</v>
      </c>
      <c r="C3" s="462">
        <v>0</v>
      </c>
      <c r="D3" s="1241"/>
      <c r="E3" s="1242"/>
      <c r="F3" s="1243"/>
      <c r="G3" s="484"/>
      <c r="H3" s="416" t="s">
        <v>489</v>
      </c>
      <c r="I3" s="626" t="str">
        <f>IF(AND($C$7+$C$8+$C$9=1,$C$10+$C$11+$C$12=0,C13=1),"ДА","НЕТ")</f>
        <v>НЕТ</v>
      </c>
      <c r="J3" s="321"/>
      <c r="K3" s="322">
        <f>IF(I3="ДА",$C$18*J3,0)</f>
        <v>0</v>
      </c>
      <c r="L3" s="408"/>
    </row>
    <row r="4" spans="1:12" ht="12.75">
      <c r="A4" s="442"/>
      <c r="B4" s="410" t="s">
        <v>509</v>
      </c>
      <c r="C4" s="589">
        <v>0</v>
      </c>
      <c r="D4" s="1301" t="s">
        <v>128</v>
      </c>
      <c r="E4" s="1302"/>
      <c r="F4" s="1303"/>
      <c r="G4" s="442"/>
      <c r="H4" s="421" t="s">
        <v>486</v>
      </c>
      <c r="I4" s="627" t="str">
        <f>IF(AND($C$7+$C$8+$C$9=1,$C$10+$C$11+$C$12=0,C13=3),"ДА","НЕТ")</f>
        <v>НЕТ</v>
      </c>
      <c r="J4" s="325"/>
      <c r="K4" s="326">
        <f t="shared" ref="K4:K19" si="0">IF(I4="ДА",$C$18*J4,0)</f>
        <v>0</v>
      </c>
      <c r="L4" s="408"/>
    </row>
    <row r="5" spans="1:12" ht="12.75">
      <c r="A5" s="442"/>
      <c r="B5" s="420" t="s">
        <v>510</v>
      </c>
      <c r="C5" s="590">
        <v>0</v>
      </c>
      <c r="D5" s="1304"/>
      <c r="E5" s="1305"/>
      <c r="F5" s="1306"/>
      <c r="G5" s="442"/>
      <c r="H5" s="421" t="s">
        <v>591</v>
      </c>
      <c r="I5" s="627" t="str">
        <f>IF(AND($C$7+$C$8+$C$9=1,$C$10+$C$11+$C$12=0,C13=3),"ДА","НЕТ")</f>
        <v>НЕТ</v>
      </c>
      <c r="J5" s="325"/>
      <c r="K5" s="326">
        <f t="shared" si="0"/>
        <v>0</v>
      </c>
      <c r="L5" s="408"/>
    </row>
    <row r="6" spans="1:12" ht="13.5" thickBot="1">
      <c r="A6" s="442"/>
      <c r="B6" s="443" t="s">
        <v>674</v>
      </c>
      <c r="C6" s="591">
        <v>0</v>
      </c>
      <c r="D6" s="1307"/>
      <c r="E6" s="1308"/>
      <c r="F6" s="1309"/>
      <c r="G6" s="442"/>
      <c r="H6" s="421" t="s">
        <v>487</v>
      </c>
      <c r="I6" s="627" t="str">
        <f>IF(AND($C$7+$C$8+$C$9=1,$C$10+$C$11+$C$12=0,C13=2),"ДА","НЕТ")</f>
        <v>НЕТ</v>
      </c>
      <c r="J6" s="325"/>
      <c r="K6" s="326">
        <f t="shared" si="0"/>
        <v>0</v>
      </c>
      <c r="L6" s="408"/>
    </row>
    <row r="7" spans="1:12" ht="12.75">
      <c r="A7" s="442"/>
      <c r="B7" s="410" t="s">
        <v>498</v>
      </c>
      <c r="C7" s="467">
        <v>0</v>
      </c>
      <c r="D7" s="423" t="s">
        <v>287</v>
      </c>
      <c r="E7" s="424" t="s">
        <v>255</v>
      </c>
      <c r="F7" s="1310" t="s">
        <v>597</v>
      </c>
      <c r="G7" s="442"/>
      <c r="H7" s="421" t="s">
        <v>488</v>
      </c>
      <c r="I7" s="627" t="str">
        <f>IF(AND($C$7+$C$8+$C$9=1,$C$10+$C$11+$C$12=0,C13=2),"ДА","НЕТ")</f>
        <v>НЕТ</v>
      </c>
      <c r="J7" s="325"/>
      <c r="K7" s="326">
        <f t="shared" si="0"/>
        <v>0</v>
      </c>
      <c r="L7" s="408"/>
    </row>
    <row r="8" spans="1:12" ht="12.75">
      <c r="A8" s="442"/>
      <c r="B8" s="420" t="s">
        <v>499</v>
      </c>
      <c r="C8" s="464">
        <v>0</v>
      </c>
      <c r="D8" s="427" t="s">
        <v>287</v>
      </c>
      <c r="E8" s="427" t="s">
        <v>255</v>
      </c>
      <c r="F8" s="1311"/>
      <c r="G8" s="442"/>
      <c r="H8" s="421" t="s">
        <v>494</v>
      </c>
      <c r="I8" s="627" t="str">
        <f>IF(AND($C$7+$C$8+$C$9=1,$C$10+$C$11+$C$12=0,C13=2),"ДА","НЕТ")</f>
        <v>НЕТ</v>
      </c>
      <c r="J8" s="325"/>
      <c r="K8" s="326">
        <f t="shared" si="0"/>
        <v>0</v>
      </c>
      <c r="L8" s="408"/>
    </row>
    <row r="9" spans="1:12" ht="12.75">
      <c r="A9" s="442"/>
      <c r="B9" s="420" t="s">
        <v>587</v>
      </c>
      <c r="C9" s="464">
        <v>0</v>
      </c>
      <c r="D9" s="427" t="s">
        <v>287</v>
      </c>
      <c r="E9" s="427" t="s">
        <v>255</v>
      </c>
      <c r="F9" s="1311"/>
      <c r="G9" s="442"/>
      <c r="H9" s="416" t="s">
        <v>590</v>
      </c>
      <c r="I9" s="627" t="str">
        <f>IF(AND($C$7+$C$8+$C$9=1,$C$10+$C$11+$C$12=0,C13=1),"ДА","НЕТ")</f>
        <v>НЕТ</v>
      </c>
      <c r="J9" s="321"/>
      <c r="K9" s="322">
        <f t="shared" si="0"/>
        <v>0</v>
      </c>
      <c r="L9" s="408"/>
    </row>
    <row r="10" spans="1:12" ht="12.75">
      <c r="A10" s="442"/>
      <c r="B10" s="422" t="s">
        <v>500</v>
      </c>
      <c r="C10" s="465">
        <v>0</v>
      </c>
      <c r="D10" s="425" t="s">
        <v>287</v>
      </c>
      <c r="E10" s="426" t="s">
        <v>255</v>
      </c>
      <c r="F10" s="1311"/>
      <c r="G10" s="444"/>
      <c r="H10" s="416" t="s">
        <v>383</v>
      </c>
      <c r="I10" s="627" t="str">
        <f>IF(AND($C$7+$C$8+$C$9+$C$12=0,$C$10+$C$11=1,$C$13=1),"ДА","НЕТ")</f>
        <v>НЕТ</v>
      </c>
      <c r="J10" s="328"/>
      <c r="K10" s="329">
        <f t="shared" si="0"/>
        <v>0</v>
      </c>
      <c r="L10" s="408"/>
    </row>
    <row r="11" spans="1:12" ht="12.75">
      <c r="A11" s="442"/>
      <c r="B11" s="420" t="s">
        <v>501</v>
      </c>
      <c r="C11" s="464">
        <v>0</v>
      </c>
      <c r="D11" s="427" t="s">
        <v>287</v>
      </c>
      <c r="E11" s="427" t="s">
        <v>255</v>
      </c>
      <c r="F11" s="1311"/>
      <c r="G11" s="456"/>
      <c r="H11" s="419" t="s">
        <v>384</v>
      </c>
      <c r="I11" s="627" t="str">
        <f>IF(AND($C$7+$C$8+$C$9+$C$12=0,$C$10+$C$11=1,$C$13=1),"ДА","НЕТ")</f>
        <v>НЕТ</v>
      </c>
      <c r="J11" s="328"/>
      <c r="K11" s="329">
        <f t="shared" si="0"/>
        <v>0</v>
      </c>
      <c r="L11" s="408"/>
    </row>
    <row r="12" spans="1:12" ht="13.5" thickBot="1">
      <c r="A12" s="442"/>
      <c r="B12" s="517" t="s">
        <v>588</v>
      </c>
      <c r="C12" s="516">
        <v>0</v>
      </c>
      <c r="D12" s="629" t="s">
        <v>287</v>
      </c>
      <c r="E12" s="519" t="s">
        <v>255</v>
      </c>
      <c r="F12" s="1312"/>
      <c r="G12" s="456"/>
      <c r="H12" s="419" t="s">
        <v>385</v>
      </c>
      <c r="I12" s="627" t="str">
        <f>IF(AND($C$7+$C$8+$C$9+$C$12=0,$C$10+$C$11=1,$C$13=1),"ДА","НЕТ")</f>
        <v>НЕТ</v>
      </c>
      <c r="J12" s="331"/>
      <c r="K12" s="329">
        <f t="shared" si="0"/>
        <v>0</v>
      </c>
      <c r="L12" s="408"/>
    </row>
    <row r="13" spans="1:12" ht="13.5" thickBot="1">
      <c r="A13" s="442"/>
      <c r="B13" s="432" t="s">
        <v>589</v>
      </c>
      <c r="C13" s="551">
        <v>0</v>
      </c>
      <c r="D13" s="436" t="s">
        <v>619</v>
      </c>
      <c r="E13" s="437" t="s">
        <v>620</v>
      </c>
      <c r="F13" s="439" t="s">
        <v>621</v>
      </c>
      <c r="G13" s="456"/>
      <c r="H13" s="419" t="s">
        <v>592</v>
      </c>
      <c r="I13" s="627" t="str">
        <f>IF(AND($C$7+$C$8+$C$9+$C$10+$C$11=0,$C$12=1,$C$13=1),"ДА","НЕТ")</f>
        <v>НЕТ</v>
      </c>
      <c r="J13" s="331"/>
      <c r="K13" s="329">
        <f t="shared" si="0"/>
        <v>0</v>
      </c>
      <c r="L13" s="408"/>
    </row>
    <row r="14" spans="1:12" ht="12.75">
      <c r="A14" s="442"/>
      <c r="B14" s="422" t="s">
        <v>361</v>
      </c>
      <c r="C14" s="465">
        <v>0</v>
      </c>
      <c r="D14" s="425" t="s">
        <v>287</v>
      </c>
      <c r="E14" s="426" t="s">
        <v>255</v>
      </c>
      <c r="F14" s="1246" t="s">
        <v>597</v>
      </c>
      <c r="G14" s="442"/>
      <c r="H14" s="419" t="s">
        <v>592</v>
      </c>
      <c r="I14" s="627" t="str">
        <f>IF(AND($C$7+$C$8+$C$9+$C$10+$C$11=0,$C$12=1,$C$13=1),"ДА","НЕТ")</f>
        <v>НЕТ</v>
      </c>
      <c r="J14" s="331"/>
      <c r="K14" s="329">
        <f t="shared" si="0"/>
        <v>0</v>
      </c>
      <c r="L14" s="408"/>
    </row>
    <row r="15" spans="1:12" ht="12.75">
      <c r="A15" s="442"/>
      <c r="B15" s="420" t="s">
        <v>362</v>
      </c>
      <c r="C15" s="464">
        <v>0</v>
      </c>
      <c r="D15" s="427" t="s">
        <v>287</v>
      </c>
      <c r="E15" s="428" t="s">
        <v>255</v>
      </c>
      <c r="F15" s="1247"/>
      <c r="G15" s="442"/>
      <c r="H15" s="416" t="s">
        <v>388</v>
      </c>
      <c r="I15" s="627" t="str">
        <f>IF(AND($C$7+$C$8+$C$9+$C$12=0,$C$10+$C$11=1,$C$13=2),"ДА","НЕТ")</f>
        <v>НЕТ</v>
      </c>
      <c r="J15" s="328"/>
      <c r="K15" s="329">
        <f t="shared" si="0"/>
        <v>0</v>
      </c>
      <c r="L15" s="408"/>
    </row>
    <row r="16" spans="1:12" ht="12.75">
      <c r="A16" s="442"/>
      <c r="B16" s="420" t="s">
        <v>467</v>
      </c>
      <c r="C16" s="464">
        <v>0</v>
      </c>
      <c r="D16" s="427" t="s">
        <v>287</v>
      </c>
      <c r="E16" s="428" t="s">
        <v>255</v>
      </c>
      <c r="F16" s="1247"/>
      <c r="G16" s="442"/>
      <c r="H16" s="419" t="s">
        <v>389</v>
      </c>
      <c r="I16" s="627" t="str">
        <f>IF(AND($C$7+$C$8+$C$9+$C$12=0,$C$10+$C$11=1,$C$13=2),"ДА","НЕТ")</f>
        <v>НЕТ</v>
      </c>
      <c r="J16" s="328"/>
      <c r="K16" s="329">
        <f t="shared" si="0"/>
        <v>0</v>
      </c>
      <c r="L16" s="408"/>
    </row>
    <row r="17" spans="1:12" ht="13.5" thickBot="1">
      <c r="A17" s="442"/>
      <c r="B17" s="420" t="s">
        <v>466</v>
      </c>
      <c r="C17" s="464">
        <v>0</v>
      </c>
      <c r="D17" s="430" t="s">
        <v>287</v>
      </c>
      <c r="E17" s="431" t="s">
        <v>255</v>
      </c>
      <c r="F17" s="1248"/>
      <c r="G17" s="442"/>
      <c r="H17" s="419" t="s">
        <v>390</v>
      </c>
      <c r="I17" s="627" t="str">
        <f>IF(AND($C$7+$C$8+$C$9+$C$12=0,$C$10+$C$11=1,$C$13=2),"ДА","НЕТ")</f>
        <v>НЕТ</v>
      </c>
      <c r="J17" s="328"/>
      <c r="K17" s="326">
        <f t="shared" si="0"/>
        <v>0</v>
      </c>
      <c r="L17" s="408"/>
    </row>
    <row r="18" spans="1:12" ht="13.5" thickBot="1">
      <c r="A18" s="442"/>
      <c r="B18" s="432" t="s">
        <v>123</v>
      </c>
      <c r="C18" s="569">
        <v>0</v>
      </c>
      <c r="D18" s="1290" t="s">
        <v>675</v>
      </c>
      <c r="E18" s="1291"/>
      <c r="F18" s="1292"/>
      <c r="G18" s="442"/>
      <c r="H18" s="416" t="s">
        <v>593</v>
      </c>
      <c r="I18" s="626" t="str">
        <f>IF(AND($C$7+$C$8+$C$9+$C$10+$C$11=0,$C$12=1,$C$13=2),"ДА","НЕТ")</f>
        <v>НЕТ</v>
      </c>
      <c r="J18" s="332"/>
      <c r="K18" s="333">
        <f t="shared" si="0"/>
        <v>0</v>
      </c>
      <c r="L18" s="408"/>
    </row>
    <row r="19" spans="1:12" ht="13.5" thickBot="1">
      <c r="A19" s="442"/>
      <c r="B19" s="732" t="s">
        <v>147</v>
      </c>
      <c r="C19" s="467">
        <v>0</v>
      </c>
      <c r="D19" s="1250" t="s">
        <v>686</v>
      </c>
      <c r="E19" s="1250"/>
      <c r="F19" s="1251"/>
      <c r="G19" s="442"/>
      <c r="H19" s="440" t="s">
        <v>594</v>
      </c>
      <c r="I19" s="637" t="str">
        <f>IF(AND($C$7+$C$8+$C$9+$C$10+$C$11=0,$C$12=1,$C$13=2),"ДА","НЕТ")</f>
        <v>НЕТ</v>
      </c>
      <c r="J19" s="335"/>
      <c r="K19" s="336">
        <f t="shared" si="0"/>
        <v>0</v>
      </c>
      <c r="L19" s="408"/>
    </row>
    <row r="20" spans="1:12" s="73" customFormat="1" ht="13.5" thickBot="1">
      <c r="A20" s="446"/>
      <c r="B20" s="733" t="s">
        <v>146</v>
      </c>
      <c r="C20" s="466">
        <v>0</v>
      </c>
      <c r="D20" s="1256" t="s">
        <v>687</v>
      </c>
      <c r="E20" s="1256"/>
      <c r="F20" s="1257"/>
      <c r="G20" s="446"/>
      <c r="H20" s="567"/>
      <c r="I20" s="731"/>
      <c r="J20" s="339"/>
      <c r="K20" s="340"/>
      <c r="L20" s="643"/>
    </row>
    <row r="21" spans="1:12" ht="13.5" thickBot="1">
      <c r="A21" s="442"/>
      <c r="B21" s="442"/>
      <c r="C21" s="442"/>
      <c r="D21" s="442"/>
      <c r="E21" s="442"/>
      <c r="F21" s="442"/>
      <c r="G21" s="442"/>
      <c r="H21" s="567"/>
      <c r="I21" s="731"/>
      <c r="J21" s="339"/>
      <c r="K21" s="340"/>
      <c r="L21" s="408"/>
    </row>
    <row r="22" spans="1:12" ht="12.75">
      <c r="A22" s="442"/>
      <c r="B22" s="447" t="s">
        <v>5</v>
      </c>
      <c r="C22" s="448" t="s">
        <v>0</v>
      </c>
      <c r="D22" s="634" t="s">
        <v>4</v>
      </c>
      <c r="E22" s="450" t="s">
        <v>8</v>
      </c>
      <c r="F22" s="442"/>
      <c r="G22" s="442"/>
      <c r="H22" s="442"/>
      <c r="I22" s="442"/>
      <c r="J22" s="442"/>
      <c r="K22" s="442"/>
      <c r="L22" s="408"/>
    </row>
    <row r="23" spans="1:12">
      <c r="A23" s="442"/>
      <c r="B23" s="452" t="s">
        <v>469</v>
      </c>
      <c r="C23" s="345">
        <f>(C4+C5+C6)*C18*C16</f>
        <v>0</v>
      </c>
      <c r="D23" s="554"/>
      <c r="E23" s="555">
        <f t="shared" ref="E23:E68" si="1">C23*D23</f>
        <v>0</v>
      </c>
      <c r="F23" s="442"/>
      <c r="G23" s="442"/>
      <c r="H23" s="442"/>
      <c r="I23" s="442"/>
      <c r="J23" s="442"/>
      <c r="K23" s="442"/>
      <c r="L23" s="408"/>
    </row>
    <row r="24" spans="1:12">
      <c r="A24" s="442"/>
      <c r="B24" s="452" t="s">
        <v>536</v>
      </c>
      <c r="C24" s="345">
        <f>C4*C17*(C4+C5+C6)</f>
        <v>0</v>
      </c>
      <c r="D24" s="346"/>
      <c r="E24" s="555">
        <f t="shared" si="1"/>
        <v>0</v>
      </c>
      <c r="F24" s="442"/>
      <c r="G24" s="442"/>
      <c r="H24" s="442"/>
      <c r="I24" s="442"/>
      <c r="J24" s="442"/>
      <c r="K24" s="442"/>
      <c r="L24" s="408"/>
    </row>
    <row r="25" spans="1:12">
      <c r="A25" s="442"/>
      <c r="B25" s="452" t="s">
        <v>117</v>
      </c>
      <c r="C25" s="345">
        <f>(C15+C14)*2*(C4+C5+C6)*C18</f>
        <v>0</v>
      </c>
      <c r="D25" s="346"/>
      <c r="E25" s="555">
        <f t="shared" si="1"/>
        <v>0</v>
      </c>
      <c r="F25" s="442"/>
      <c r="G25" s="442"/>
      <c r="H25" s="442"/>
      <c r="I25" s="442"/>
      <c r="J25" s="442"/>
      <c r="K25" s="442"/>
      <c r="L25" s="408"/>
    </row>
    <row r="26" spans="1:12">
      <c r="A26" s="442"/>
      <c r="B26" s="454" t="s">
        <v>440</v>
      </c>
      <c r="C26" s="350">
        <f>EVEN(ROUNDDOWN(IF(C18&gt;0,(C2/0.5)*C18,0),0))</f>
        <v>0</v>
      </c>
      <c r="D26" s="554"/>
      <c r="E26" s="555">
        <f t="shared" si="1"/>
        <v>0</v>
      </c>
      <c r="F26" s="442"/>
      <c r="G26" s="442"/>
      <c r="H26" s="442"/>
      <c r="I26" s="442"/>
      <c r="J26" s="442"/>
      <c r="K26" s="442"/>
      <c r="L26" s="408"/>
    </row>
    <row r="27" spans="1:12">
      <c r="A27" s="442"/>
      <c r="B27" s="454" t="s">
        <v>420</v>
      </c>
      <c r="C27" s="350">
        <f>IF(AND(C7+C8+C9&gt;0,C10+C11+C12=0),C18*2,0)</f>
        <v>0</v>
      </c>
      <c r="D27" s="554"/>
      <c r="E27" s="555">
        <f t="shared" si="1"/>
        <v>0</v>
      </c>
      <c r="F27" s="442"/>
      <c r="G27" s="442"/>
      <c r="H27" s="442"/>
      <c r="I27" s="442"/>
      <c r="J27" s="442"/>
      <c r="K27" s="442"/>
      <c r="L27" s="408"/>
    </row>
    <row r="28" spans="1:12">
      <c r="A28" s="442"/>
      <c r="B28" s="454" t="s">
        <v>420</v>
      </c>
      <c r="C28" s="350">
        <f>IF(AND(C7+C8+C9=0,C10+C11+C12&gt;0),C18,0)</f>
        <v>0</v>
      </c>
      <c r="D28" s="554"/>
      <c r="E28" s="555">
        <f t="shared" si="1"/>
        <v>0</v>
      </c>
      <c r="F28" s="442"/>
      <c r="G28" s="442"/>
      <c r="H28" s="442"/>
      <c r="I28" s="442"/>
      <c r="J28" s="442"/>
      <c r="K28" s="442"/>
      <c r="L28" s="408"/>
    </row>
    <row r="29" spans="1:12">
      <c r="A29" s="442"/>
      <c r="B29" s="454" t="s">
        <v>511</v>
      </c>
      <c r="C29" s="350">
        <f>IF(AND(C7+C8+C9&gt;0,C10+C11+C12=0),(C4+C5+C6-1)*C18,0)</f>
        <v>0</v>
      </c>
      <c r="D29" s="554"/>
      <c r="E29" s="555">
        <f t="shared" si="1"/>
        <v>0</v>
      </c>
      <c r="F29" s="442"/>
      <c r="G29" s="442"/>
      <c r="H29" s="442"/>
      <c r="I29" s="442"/>
      <c r="J29" s="442"/>
      <c r="K29" s="442"/>
      <c r="L29" s="408"/>
    </row>
    <row r="30" spans="1:12">
      <c r="A30" s="442"/>
      <c r="B30" s="454" t="s">
        <v>511</v>
      </c>
      <c r="C30" s="350">
        <f>IF(AND(C7+C8=0,C10+C11&gt;0),(C4+C5+C6)*C18,0)</f>
        <v>0</v>
      </c>
      <c r="D30" s="554"/>
      <c r="E30" s="555">
        <f t="shared" si="1"/>
        <v>0</v>
      </c>
      <c r="F30" s="442"/>
      <c r="G30" s="442"/>
      <c r="H30" s="442"/>
      <c r="I30" s="442"/>
      <c r="J30" s="442"/>
      <c r="K30" s="442"/>
      <c r="L30" s="408"/>
    </row>
    <row r="31" spans="1:12">
      <c r="A31" s="442"/>
      <c r="B31" s="452" t="s">
        <v>463</v>
      </c>
      <c r="C31" s="345">
        <f>C18</f>
        <v>0</v>
      </c>
      <c r="D31" s="554"/>
      <c r="E31" s="555">
        <f t="shared" si="1"/>
        <v>0</v>
      </c>
      <c r="F31" s="442"/>
      <c r="G31" s="442"/>
      <c r="H31" s="442"/>
      <c r="I31" s="442"/>
      <c r="J31" s="442"/>
      <c r="K31" s="442"/>
      <c r="L31" s="408"/>
    </row>
    <row r="32" spans="1:12">
      <c r="A32" s="442"/>
      <c r="B32" s="452" t="s">
        <v>464</v>
      </c>
      <c r="C32" s="353">
        <f>C18</f>
        <v>0</v>
      </c>
      <c r="D32" s="554"/>
      <c r="E32" s="555">
        <f t="shared" si="1"/>
        <v>0</v>
      </c>
      <c r="F32" s="442"/>
      <c r="G32" s="442"/>
      <c r="H32" s="442"/>
      <c r="I32" s="442"/>
      <c r="J32" s="442"/>
      <c r="K32" s="442"/>
      <c r="L32" s="408"/>
    </row>
    <row r="33" spans="1:12">
      <c r="A33" s="442"/>
      <c r="B33" s="452" t="s">
        <v>441</v>
      </c>
      <c r="C33" s="345">
        <f>C18*2</f>
        <v>0</v>
      </c>
      <c r="D33" s="554"/>
      <c r="E33" s="555">
        <f t="shared" si="1"/>
        <v>0</v>
      </c>
      <c r="F33" s="442"/>
      <c r="G33" s="442"/>
      <c r="H33" s="442"/>
      <c r="I33" s="442"/>
      <c r="J33" s="442"/>
      <c r="K33" s="442"/>
      <c r="L33" s="408"/>
    </row>
    <row r="34" spans="1:12">
      <c r="A34" s="442"/>
      <c r="B34" s="454" t="s">
        <v>445</v>
      </c>
      <c r="C34" s="345">
        <f>IF(C5+C6=0,C46+C49+C58,0)</f>
        <v>0</v>
      </c>
      <c r="D34" s="554"/>
      <c r="E34" s="555">
        <f t="shared" si="1"/>
        <v>0</v>
      </c>
      <c r="F34" s="442"/>
      <c r="G34" s="442"/>
      <c r="H34" s="442"/>
      <c r="I34" s="442"/>
      <c r="J34" s="442"/>
      <c r="K34" s="442"/>
      <c r="L34" s="408"/>
    </row>
    <row r="35" spans="1:12">
      <c r="A35" s="442"/>
      <c r="B35" s="454" t="s">
        <v>446</v>
      </c>
      <c r="C35" s="345">
        <f>IF(AND(C4&gt;0,C5+C6=0),C46+C49+C58+1,0)</f>
        <v>0</v>
      </c>
      <c r="D35" s="554"/>
      <c r="E35" s="555">
        <f t="shared" si="1"/>
        <v>0</v>
      </c>
      <c r="F35" s="442"/>
      <c r="G35" s="442"/>
      <c r="H35" s="442"/>
      <c r="I35" s="442"/>
      <c r="J35" s="442"/>
      <c r="K35" s="442"/>
      <c r="L35" s="408"/>
    </row>
    <row r="36" spans="1:12">
      <c r="A36" s="442"/>
      <c r="B36" s="454" t="s">
        <v>652</v>
      </c>
      <c r="C36" s="345">
        <f>IF(AND(C6&gt;0,C4+C5=0),C46+C49+C58,0)</f>
        <v>0</v>
      </c>
      <c r="D36" s="554"/>
      <c r="E36" s="555">
        <f>C36*D36</f>
        <v>0</v>
      </c>
      <c r="F36" s="442"/>
      <c r="G36" s="442"/>
      <c r="H36" s="442"/>
      <c r="I36" s="442"/>
      <c r="J36" s="442"/>
      <c r="K36" s="442"/>
      <c r="L36" s="408"/>
    </row>
    <row r="37" spans="1:12">
      <c r="A37" s="442"/>
      <c r="B37" s="454" t="s">
        <v>434</v>
      </c>
      <c r="C37" s="345">
        <f>IF(C4=0,(C5+C6)*(C46+C49+C58),0)</f>
        <v>0</v>
      </c>
      <c r="D37" s="554"/>
      <c r="E37" s="555">
        <f t="shared" si="1"/>
        <v>0</v>
      </c>
      <c r="F37" s="442"/>
      <c r="G37" s="442"/>
      <c r="H37" s="442"/>
      <c r="I37" s="442"/>
      <c r="J37" s="442"/>
      <c r="K37" s="442"/>
      <c r="L37" s="408"/>
    </row>
    <row r="38" spans="1:12">
      <c r="A38" s="442"/>
      <c r="B38" s="454" t="s">
        <v>682</v>
      </c>
      <c r="C38" s="345">
        <f>IF(C4+C5+C6&gt;0,C4+C5+C6-1,0)</f>
        <v>0</v>
      </c>
      <c r="D38" s="554"/>
      <c r="E38" s="555">
        <f t="shared" si="1"/>
        <v>0</v>
      </c>
      <c r="F38" s="442"/>
      <c r="G38" s="442"/>
      <c r="H38" s="442"/>
      <c r="I38" s="442"/>
      <c r="J38" s="442"/>
      <c r="K38" s="442"/>
      <c r="L38" s="408"/>
    </row>
    <row r="39" spans="1:12">
      <c r="A39" s="442"/>
      <c r="B39" s="452" t="s">
        <v>474</v>
      </c>
      <c r="C39" s="345">
        <f>C18*C2</f>
        <v>0</v>
      </c>
      <c r="D39" s="554"/>
      <c r="E39" s="555">
        <f t="shared" si="1"/>
        <v>0</v>
      </c>
      <c r="F39" s="442"/>
      <c r="G39" s="442"/>
      <c r="H39" s="442"/>
      <c r="I39" s="442"/>
      <c r="J39" s="442"/>
      <c r="K39" s="442"/>
      <c r="L39" s="408"/>
    </row>
    <row r="40" spans="1:12">
      <c r="A40" s="442"/>
      <c r="B40" s="452" t="s">
        <v>474</v>
      </c>
      <c r="C40" s="350">
        <f>C2*C16*C18</f>
        <v>0</v>
      </c>
      <c r="D40" s="351"/>
      <c r="E40" s="555">
        <f t="shared" si="1"/>
        <v>0</v>
      </c>
      <c r="F40" s="442"/>
      <c r="G40" s="442"/>
      <c r="H40" s="442"/>
      <c r="I40" s="442"/>
      <c r="J40" s="442"/>
      <c r="K40" s="442"/>
      <c r="L40" s="408"/>
    </row>
    <row r="41" spans="1:12">
      <c r="A41" s="442"/>
      <c r="B41" s="454" t="s">
        <v>363</v>
      </c>
      <c r="C41" s="350">
        <f>C15*2*C18</f>
        <v>0</v>
      </c>
      <c r="D41" s="554"/>
      <c r="E41" s="555">
        <f t="shared" si="1"/>
        <v>0</v>
      </c>
      <c r="F41" s="442"/>
      <c r="G41" s="442"/>
      <c r="H41" s="442"/>
      <c r="I41" s="442"/>
      <c r="J41" s="442"/>
      <c r="K41" s="442"/>
      <c r="L41" s="408"/>
    </row>
    <row r="42" spans="1:12">
      <c r="A42" s="442"/>
      <c r="B42" s="454" t="s">
        <v>477</v>
      </c>
      <c r="C42" s="350">
        <f>(C14+C17)*C2*C18</f>
        <v>0</v>
      </c>
      <c r="D42" s="556"/>
      <c r="E42" s="555">
        <f t="shared" si="1"/>
        <v>0</v>
      </c>
      <c r="F42" s="442"/>
      <c r="G42" s="442"/>
      <c r="H42" s="442"/>
      <c r="I42" s="442"/>
      <c r="J42" s="442"/>
      <c r="K42" s="442"/>
      <c r="L42" s="408"/>
    </row>
    <row r="43" spans="1:12">
      <c r="A43" s="442"/>
      <c r="B43" s="454" t="s">
        <v>537</v>
      </c>
      <c r="C43" s="350">
        <f>C17*C2*C18</f>
        <v>0</v>
      </c>
      <c r="D43" s="351"/>
      <c r="E43" s="555">
        <f t="shared" si="1"/>
        <v>0</v>
      </c>
      <c r="F43" s="442"/>
      <c r="G43" s="442"/>
      <c r="H43" s="442"/>
      <c r="I43" s="442"/>
      <c r="J43" s="442"/>
      <c r="K43" s="442"/>
      <c r="L43" s="408"/>
    </row>
    <row r="44" spans="1:12">
      <c r="A44" s="442"/>
      <c r="B44" s="454" t="s">
        <v>364</v>
      </c>
      <c r="C44" s="350">
        <f>C14*C2*C18</f>
        <v>0</v>
      </c>
      <c r="D44" s="351"/>
      <c r="E44" s="555">
        <f t="shared" si="1"/>
        <v>0</v>
      </c>
      <c r="F44" s="456"/>
      <c r="G44" s="442"/>
      <c r="H44" s="442"/>
      <c r="I44" s="442"/>
      <c r="J44" s="442"/>
      <c r="K44" s="442"/>
      <c r="L44" s="408"/>
    </row>
    <row r="45" spans="1:12">
      <c r="A45" s="442"/>
      <c r="B45" s="454" t="s">
        <v>365</v>
      </c>
      <c r="C45" s="357">
        <f>C15*C2*C18</f>
        <v>0</v>
      </c>
      <c r="D45" s="351"/>
      <c r="E45" s="555">
        <f t="shared" si="1"/>
        <v>0</v>
      </c>
      <c r="F45" s="442"/>
      <c r="G45" s="442"/>
      <c r="H45" s="442"/>
      <c r="I45" s="442"/>
      <c r="J45" s="442"/>
      <c r="K45" s="442"/>
      <c r="L45" s="408"/>
    </row>
    <row r="46" spans="1:12">
      <c r="A46" s="442"/>
      <c r="B46" s="454" t="s">
        <v>514</v>
      </c>
      <c r="C46" s="350">
        <f>((C4+C5+C6)-1)*C18</f>
        <v>0</v>
      </c>
      <c r="D46" s="592"/>
      <c r="E46" s="555">
        <f t="shared" si="1"/>
        <v>0</v>
      </c>
      <c r="F46" s="442"/>
      <c r="G46" s="442"/>
      <c r="H46" s="442"/>
      <c r="I46" s="442"/>
      <c r="J46" s="442"/>
      <c r="K46" s="442"/>
      <c r="L46" s="408"/>
    </row>
    <row r="47" spans="1:12" ht="11.25" customHeight="1">
      <c r="A47" s="442"/>
      <c r="B47" s="455" t="s">
        <v>506</v>
      </c>
      <c r="C47" s="402">
        <f>((C4+C5+C6)-1)*C18</f>
        <v>0</v>
      </c>
      <c r="D47" s="592"/>
      <c r="E47" s="555">
        <f t="shared" si="1"/>
        <v>0</v>
      </c>
      <c r="F47" s="442"/>
      <c r="G47" s="442"/>
      <c r="H47" s="442"/>
      <c r="I47" s="442"/>
      <c r="J47" s="442"/>
      <c r="K47" s="442"/>
      <c r="L47" s="408"/>
    </row>
    <row r="48" spans="1:12">
      <c r="A48" s="442"/>
      <c r="B48" s="455" t="s">
        <v>515</v>
      </c>
      <c r="C48" s="402">
        <f>((C4+C5+C6)-1)*C18</f>
        <v>0</v>
      </c>
      <c r="D48" s="592"/>
      <c r="E48" s="555">
        <f t="shared" si="1"/>
        <v>0</v>
      </c>
      <c r="F48" s="442"/>
      <c r="G48" s="442"/>
      <c r="H48" s="442"/>
      <c r="I48" s="442"/>
      <c r="J48" s="442"/>
      <c r="K48" s="442"/>
      <c r="L48" s="408"/>
    </row>
    <row r="49" spans="1:12">
      <c r="A49" s="442"/>
      <c r="B49" s="454" t="s">
        <v>505</v>
      </c>
      <c r="C49" s="350">
        <f>((C4+C5+C6)-1)*C18</f>
        <v>0</v>
      </c>
      <c r="D49" s="592"/>
      <c r="E49" s="555">
        <f t="shared" si="1"/>
        <v>0</v>
      </c>
      <c r="F49" s="442"/>
      <c r="G49" s="442"/>
      <c r="H49" s="442"/>
      <c r="I49" s="442"/>
      <c r="J49" s="442"/>
      <c r="K49" s="442"/>
      <c r="L49" s="408"/>
    </row>
    <row r="50" spans="1:12">
      <c r="A50" s="442"/>
      <c r="B50" s="454" t="s">
        <v>473</v>
      </c>
      <c r="C50" s="350">
        <f>C18*C2*C16</f>
        <v>0</v>
      </c>
      <c r="D50" s="554"/>
      <c r="E50" s="555">
        <f t="shared" si="1"/>
        <v>0</v>
      </c>
      <c r="F50" s="442"/>
      <c r="G50" s="442"/>
      <c r="H50" s="442"/>
      <c r="I50" s="442"/>
      <c r="J50" s="442"/>
      <c r="K50" s="442"/>
      <c r="L50" s="408"/>
    </row>
    <row r="51" spans="1:12">
      <c r="A51" s="442"/>
      <c r="B51" s="452" t="s">
        <v>461</v>
      </c>
      <c r="C51" s="345">
        <f>IF(AND(C4&gt;0,C5+C6=0),C2*C18,0)</f>
        <v>0</v>
      </c>
      <c r="D51" s="554"/>
      <c r="E51" s="555">
        <f t="shared" si="1"/>
        <v>0</v>
      </c>
      <c r="F51" s="442"/>
      <c r="G51" s="442"/>
      <c r="H51" s="442"/>
      <c r="I51" s="442"/>
      <c r="J51" s="442"/>
      <c r="K51" s="442"/>
      <c r="L51" s="408"/>
    </row>
    <row r="52" spans="1:12" ht="12" customHeight="1">
      <c r="A52" s="442"/>
      <c r="B52" s="452" t="s">
        <v>462</v>
      </c>
      <c r="C52" s="345">
        <f>IF(AND(C4+C6=0,C5&gt;0),C2*C18,0)</f>
        <v>0</v>
      </c>
      <c r="D52" s="554"/>
      <c r="E52" s="555">
        <f t="shared" si="1"/>
        <v>0</v>
      </c>
      <c r="F52" s="442"/>
      <c r="G52" s="442"/>
      <c r="H52" s="442"/>
      <c r="I52" s="442"/>
      <c r="J52" s="442"/>
      <c r="K52" s="442"/>
      <c r="L52" s="408"/>
    </row>
    <row r="53" spans="1:12" ht="12" customHeight="1">
      <c r="A53" s="442"/>
      <c r="B53" s="452" t="s">
        <v>601</v>
      </c>
      <c r="C53" s="345">
        <f>IF(AND(C5+C4=0,C6&gt;0),C2*C18,0)</f>
        <v>0</v>
      </c>
      <c r="D53" s="554">
        <v>1</v>
      </c>
      <c r="E53" s="555">
        <f>C53*D53</f>
        <v>0</v>
      </c>
      <c r="F53" s="442"/>
      <c r="G53" s="442"/>
      <c r="H53" s="442"/>
      <c r="I53" s="442"/>
      <c r="J53" s="442"/>
      <c r="K53" s="442"/>
      <c r="L53" s="408"/>
    </row>
    <row r="54" spans="1:12">
      <c r="A54" s="442"/>
      <c r="B54" s="452" t="s">
        <v>442</v>
      </c>
      <c r="C54" s="345">
        <f>C18*2</f>
        <v>0</v>
      </c>
      <c r="D54" s="554"/>
      <c r="E54" s="555">
        <f t="shared" si="1"/>
        <v>0</v>
      </c>
      <c r="F54" s="442"/>
      <c r="G54" s="442"/>
      <c r="H54" s="442"/>
      <c r="I54" s="442"/>
      <c r="J54" s="442"/>
      <c r="K54" s="442"/>
      <c r="L54" s="408"/>
    </row>
    <row r="55" spans="1:12">
      <c r="A55" s="442"/>
      <c r="B55" s="638" t="s">
        <v>483</v>
      </c>
      <c r="C55" s="402">
        <f>C2*C18</f>
        <v>0</v>
      </c>
      <c r="D55" s="557"/>
      <c r="E55" s="555">
        <f t="shared" si="1"/>
        <v>0</v>
      </c>
      <c r="F55" s="442"/>
      <c r="G55" s="442"/>
      <c r="H55" s="442"/>
      <c r="I55" s="442"/>
      <c r="J55" s="442"/>
      <c r="K55" s="442"/>
      <c r="L55" s="408"/>
    </row>
    <row r="56" spans="1:12">
      <c r="A56" s="442"/>
      <c r="B56" s="452" t="s">
        <v>443</v>
      </c>
      <c r="C56" s="345">
        <f>C18*C2</f>
        <v>0</v>
      </c>
      <c r="D56" s="554"/>
      <c r="E56" s="555">
        <f t="shared" si="1"/>
        <v>0</v>
      </c>
      <c r="F56" s="442"/>
      <c r="G56" s="442"/>
      <c r="H56" s="442"/>
      <c r="I56" s="442"/>
      <c r="J56" s="442"/>
      <c r="K56" s="442"/>
      <c r="L56" s="408"/>
    </row>
    <row r="57" spans="1:12">
      <c r="A57" s="442"/>
      <c r="B57" s="452" t="s">
        <v>444</v>
      </c>
      <c r="C57" s="345">
        <f>C18*C2</f>
        <v>0</v>
      </c>
      <c r="D57" s="554"/>
      <c r="E57" s="555">
        <f t="shared" si="1"/>
        <v>0</v>
      </c>
      <c r="F57" s="442"/>
      <c r="G57" s="442"/>
      <c r="H57" s="442"/>
      <c r="I57" s="442"/>
      <c r="J57" s="442"/>
      <c r="K57" s="442"/>
      <c r="L57" s="408"/>
    </row>
    <row r="58" spans="1:12">
      <c r="A58" s="442"/>
      <c r="B58" s="454" t="s">
        <v>423</v>
      </c>
      <c r="C58" s="350">
        <f>C18</f>
        <v>0</v>
      </c>
      <c r="D58" s="554"/>
      <c r="E58" s="555">
        <f t="shared" si="1"/>
        <v>0</v>
      </c>
      <c r="F58" s="442"/>
      <c r="G58" s="442"/>
      <c r="H58" s="442"/>
      <c r="I58" s="442"/>
      <c r="J58" s="442"/>
      <c r="K58" s="442"/>
      <c r="L58" s="408"/>
    </row>
    <row r="59" spans="1:12">
      <c r="A59" s="442"/>
      <c r="B59" s="454" t="s">
        <v>677</v>
      </c>
      <c r="C59" s="350">
        <f>C18*4</f>
        <v>0</v>
      </c>
      <c r="D59" s="554"/>
      <c r="E59" s="555">
        <f t="shared" si="1"/>
        <v>0</v>
      </c>
      <c r="F59" s="442"/>
      <c r="G59" s="442"/>
      <c r="H59" s="442"/>
      <c r="I59" s="442"/>
      <c r="J59" s="442"/>
      <c r="K59" s="442"/>
      <c r="L59" s="408"/>
    </row>
    <row r="60" spans="1:12">
      <c r="A60" s="442"/>
      <c r="B60" s="454" t="s">
        <v>516</v>
      </c>
      <c r="C60" s="350">
        <f>((C4+C5+C6+1)*2)*C18</f>
        <v>0</v>
      </c>
      <c r="D60" s="554"/>
      <c r="E60" s="555">
        <f t="shared" si="1"/>
        <v>0</v>
      </c>
      <c r="F60" s="442"/>
      <c r="G60" s="442"/>
      <c r="H60" s="442"/>
      <c r="I60" s="442"/>
      <c r="J60" s="442"/>
      <c r="K60" s="442"/>
      <c r="L60" s="408"/>
    </row>
    <row r="61" spans="1:12">
      <c r="A61" s="442"/>
      <c r="B61" s="455" t="s">
        <v>602</v>
      </c>
      <c r="C61" s="357">
        <f>C9*C18</f>
        <v>0</v>
      </c>
      <c r="D61" s="351"/>
      <c r="E61" s="347">
        <f t="shared" si="1"/>
        <v>0</v>
      </c>
      <c r="F61" s="442"/>
      <c r="G61" s="442"/>
      <c r="H61" s="442"/>
      <c r="I61" s="442"/>
      <c r="J61" s="442"/>
      <c r="K61" s="442"/>
      <c r="L61" s="408"/>
    </row>
    <row r="62" spans="1:12">
      <c r="A62" s="442"/>
      <c r="B62" s="455" t="s">
        <v>603</v>
      </c>
      <c r="C62" s="357">
        <f>C18*C12</f>
        <v>0</v>
      </c>
      <c r="D62" s="351"/>
      <c r="E62" s="347">
        <f t="shared" si="1"/>
        <v>0</v>
      </c>
      <c r="F62" s="442"/>
      <c r="G62" s="442"/>
      <c r="H62" s="442"/>
      <c r="I62" s="442"/>
      <c r="J62" s="442"/>
      <c r="K62" s="442"/>
      <c r="L62" s="408"/>
    </row>
    <row r="63" spans="1:12">
      <c r="A63" s="442"/>
      <c r="B63" s="455" t="s">
        <v>378</v>
      </c>
      <c r="C63" s="357">
        <f>C7*C18</f>
        <v>0</v>
      </c>
      <c r="D63" s="556"/>
      <c r="E63" s="555">
        <f t="shared" si="1"/>
        <v>0</v>
      </c>
      <c r="F63" s="442"/>
      <c r="G63" s="442"/>
      <c r="H63" s="442"/>
      <c r="I63" s="442"/>
      <c r="J63" s="442"/>
      <c r="K63" s="442"/>
      <c r="L63" s="408"/>
    </row>
    <row r="64" spans="1:12">
      <c r="A64" s="442"/>
      <c r="B64" s="455" t="s">
        <v>598</v>
      </c>
      <c r="C64" s="357">
        <f>C10*C18</f>
        <v>0</v>
      </c>
      <c r="D64" s="556"/>
      <c r="E64" s="555">
        <f t="shared" si="1"/>
        <v>0</v>
      </c>
      <c r="F64" s="442"/>
      <c r="G64" s="442"/>
      <c r="H64" s="442"/>
      <c r="I64" s="442"/>
      <c r="J64" s="442"/>
      <c r="K64" s="442"/>
      <c r="L64" s="408"/>
    </row>
    <row r="65" spans="1:12">
      <c r="A65" s="442"/>
      <c r="B65" s="455" t="s">
        <v>436</v>
      </c>
      <c r="C65" s="357">
        <f>C8*C18</f>
        <v>0</v>
      </c>
      <c r="D65" s="556"/>
      <c r="E65" s="555">
        <f t="shared" si="1"/>
        <v>0</v>
      </c>
      <c r="F65" s="442"/>
      <c r="G65" s="442"/>
      <c r="H65" s="442"/>
      <c r="I65" s="442"/>
      <c r="J65" s="442"/>
      <c r="K65" s="442"/>
      <c r="L65" s="408"/>
    </row>
    <row r="66" spans="1:12">
      <c r="A66" s="442"/>
      <c r="B66" s="528" t="s">
        <v>145</v>
      </c>
      <c r="C66" s="509">
        <f>C20</f>
        <v>0</v>
      </c>
      <c r="D66" s="525"/>
      <c r="E66" s="403">
        <f t="shared" si="1"/>
        <v>0</v>
      </c>
      <c r="F66" s="442"/>
      <c r="G66" s="442"/>
      <c r="H66" s="442"/>
      <c r="I66" s="442"/>
      <c r="J66" s="442"/>
      <c r="K66" s="442"/>
      <c r="L66" s="408"/>
    </row>
    <row r="67" spans="1:12">
      <c r="A67" s="442"/>
      <c r="B67" s="528" t="s">
        <v>148</v>
      </c>
      <c r="C67" s="509">
        <f>C19</f>
        <v>0</v>
      </c>
      <c r="D67" s="525"/>
      <c r="E67" s="403">
        <f t="shared" si="1"/>
        <v>0</v>
      </c>
      <c r="F67" s="442"/>
      <c r="G67" s="442"/>
      <c r="H67" s="442"/>
      <c r="I67" s="442"/>
      <c r="J67" s="442"/>
      <c r="K67" s="442"/>
      <c r="L67" s="408"/>
    </row>
    <row r="68" spans="1:12" ht="12" thickBot="1">
      <c r="A68" s="442"/>
      <c r="B68" s="457" t="s">
        <v>599</v>
      </c>
      <c r="C68" s="405">
        <f>C11*C18</f>
        <v>0</v>
      </c>
      <c r="D68" s="593"/>
      <c r="E68" s="559">
        <f t="shared" si="1"/>
        <v>0</v>
      </c>
      <c r="F68" s="442"/>
      <c r="G68" s="442"/>
      <c r="H68" s="442"/>
      <c r="I68" s="442"/>
      <c r="J68" s="442"/>
      <c r="K68" s="442"/>
      <c r="L68" s="408"/>
    </row>
    <row r="69" spans="1:12" ht="13.5" thickBot="1">
      <c r="A69" s="442"/>
      <c r="B69" s="442"/>
      <c r="C69" s="442"/>
      <c r="D69" s="692" t="s">
        <v>9</v>
      </c>
      <c r="E69" s="530">
        <f>SUMIF(E23:E68,"&gt;0",E23:E68)</f>
        <v>0</v>
      </c>
      <c r="F69" s="442"/>
      <c r="G69" s="442"/>
      <c r="H69" s="442"/>
      <c r="I69" s="442"/>
      <c r="J69" s="442"/>
      <c r="K69" s="442"/>
      <c r="L69" s="408"/>
    </row>
    <row r="70" spans="1:12">
      <c r="A70" s="442"/>
      <c r="B70" s="442"/>
      <c r="C70" s="442"/>
      <c r="D70" s="442"/>
      <c r="E70" s="442"/>
      <c r="F70" s="442"/>
      <c r="G70" s="442"/>
      <c r="H70" s="442"/>
      <c r="I70" s="442"/>
      <c r="J70" s="442"/>
      <c r="K70" s="442"/>
      <c r="L70" s="408"/>
    </row>
    <row r="71" spans="1:12">
      <c r="A71" s="442"/>
      <c r="B71" s="442"/>
      <c r="C71" s="442"/>
      <c r="D71" s="442"/>
      <c r="E71" s="442"/>
      <c r="F71" s="442"/>
      <c r="G71" s="442"/>
      <c r="H71" s="442"/>
      <c r="I71" s="442"/>
      <c r="J71" s="442"/>
      <c r="K71" s="442"/>
      <c r="L71" s="408"/>
    </row>
    <row r="72" spans="1:12" ht="11.25" customHeight="1">
      <c r="A72" s="442"/>
      <c r="B72" s="442"/>
      <c r="C72" s="442"/>
      <c r="D72" s="442"/>
      <c r="E72" s="442"/>
      <c r="F72" s="442"/>
      <c r="G72" s="442"/>
      <c r="H72" s="442"/>
      <c r="I72" s="442"/>
      <c r="J72" s="442"/>
      <c r="K72" s="442"/>
      <c r="L72" s="408"/>
    </row>
    <row r="73" spans="1:12">
      <c r="A73" s="442"/>
      <c r="B73" s="442"/>
      <c r="C73" s="442"/>
      <c r="D73" s="442"/>
      <c r="E73" s="442"/>
      <c r="F73" s="442"/>
      <c r="G73" s="442"/>
      <c r="H73" s="442"/>
      <c r="I73" s="442"/>
      <c r="J73" s="442"/>
      <c r="K73" s="442"/>
      <c r="L73" s="408"/>
    </row>
    <row r="74" spans="1:12">
      <c r="A74" s="442"/>
      <c r="B74" s="442"/>
      <c r="C74" s="442"/>
      <c r="D74" s="442"/>
      <c r="E74" s="442"/>
      <c r="F74" s="442"/>
      <c r="G74" s="442"/>
      <c r="H74" s="442"/>
      <c r="I74" s="442"/>
      <c r="J74" s="442"/>
      <c r="K74" s="442"/>
      <c r="L74" s="408"/>
    </row>
    <row r="75" spans="1:12">
      <c r="A75" s="442"/>
      <c r="B75" s="442"/>
      <c r="C75" s="442"/>
      <c r="D75" s="442"/>
      <c r="E75" s="442"/>
      <c r="F75" s="442"/>
      <c r="G75" s="442"/>
      <c r="H75" s="442"/>
      <c r="I75" s="442"/>
      <c r="J75" s="442"/>
      <c r="K75" s="442"/>
      <c r="L75" s="408"/>
    </row>
    <row r="76" spans="1:12">
      <c r="A76" s="442"/>
      <c r="B76" s="442"/>
      <c r="C76" s="442"/>
      <c r="D76" s="442"/>
      <c r="E76" s="442"/>
      <c r="F76" s="442"/>
      <c r="G76" s="442"/>
      <c r="H76" s="442"/>
      <c r="I76" s="442"/>
      <c r="J76" s="442"/>
      <c r="K76" s="442"/>
      <c r="L76" s="408"/>
    </row>
    <row r="77" spans="1:12" ht="11.25" customHeight="1">
      <c r="A77" s="408"/>
      <c r="B77" s="408"/>
      <c r="C77" s="408"/>
      <c r="D77" s="408"/>
      <c r="E77" s="408"/>
      <c r="F77" s="408"/>
      <c r="G77" s="408"/>
      <c r="H77" s="408"/>
      <c r="I77" s="408"/>
      <c r="J77" s="408"/>
      <c r="K77" s="408"/>
      <c r="L77" s="408"/>
    </row>
  </sheetData>
  <sheetProtection algorithmName="SHA-512" hashValue="1RQ2NqQYhDN+ZjZLZKuyap0DJUpGbQ/runYpHitcCeFf8/OGS2GEvZ7O8tbvZKlMpHTLNymyl1opaG/ypbZvEw==" saltValue="W5qQSsl1vtLkoIwOCRCcPg==" spinCount="100000" sheet="1"/>
  <mergeCells count="8">
    <mergeCell ref="D19:F19"/>
    <mergeCell ref="D20:F20"/>
    <mergeCell ref="D18:F18"/>
    <mergeCell ref="B1:E1"/>
    <mergeCell ref="D2:F3"/>
    <mergeCell ref="D4:F6"/>
    <mergeCell ref="F7:F12"/>
    <mergeCell ref="F14:F17"/>
  </mergeCells>
  <conditionalFormatting sqref="C13">
    <cfRule type="cellIs" dxfId="432" priority="92" operator="greaterThan">
      <formula>0</formula>
    </cfRule>
  </conditionalFormatting>
  <conditionalFormatting sqref="C13">
    <cfRule type="cellIs" dxfId="431" priority="91" operator="greaterThan">
      <formula>0</formula>
    </cfRule>
  </conditionalFormatting>
  <conditionalFormatting sqref="C13">
    <cfRule type="cellIs" dxfId="430" priority="90" operator="greaterThan">
      <formula>0</formula>
    </cfRule>
  </conditionalFormatting>
  <conditionalFormatting sqref="J3:J21">
    <cfRule type="cellIs" dxfId="429" priority="25" operator="greaterThan">
      <formula>0</formula>
    </cfRule>
    <cfRule type="cellIs" dxfId="428" priority="26" operator="greaterThan">
      <formula>0</formula>
    </cfRule>
  </conditionalFormatting>
  <conditionalFormatting sqref="H10:H12">
    <cfRule type="iconSet" priority="50">
      <iconSet iconSet="3Symbols">
        <cfvo type="percent" val="0"/>
        <cfvo type="percent" val="33"/>
        <cfvo type="percent" val="67"/>
      </iconSet>
    </cfRule>
    <cfRule type="expression" priority="51">
      <formula>"H71=1"</formula>
    </cfRule>
  </conditionalFormatting>
  <conditionalFormatting sqref="H10">
    <cfRule type="iconSet" priority="49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427" priority="46" operator="equal">
      <formula>"ДА"</formula>
    </cfRule>
    <cfRule type="cellIs" dxfId="426" priority="47" operator="equal">
      <formula>"НЕТ"</formula>
    </cfRule>
  </conditionalFormatting>
  <conditionalFormatting sqref="I3:I4 I6:I8">
    <cfRule type="colorScale" priority="4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425" priority="43" operator="equal">
      <formula>"ДА"</formula>
    </cfRule>
    <cfRule type="cellIs" dxfId="424" priority="44" operator="equal">
      <formula>"НЕТ"</formula>
    </cfRule>
  </conditionalFormatting>
  <conditionalFormatting sqref="I5">
    <cfRule type="cellIs" dxfId="423" priority="40" operator="equal">
      <formula>"ДА"</formula>
    </cfRule>
    <cfRule type="cellIs" dxfId="422" priority="41" operator="equal">
      <formula>"НЕТ"</formula>
    </cfRule>
  </conditionalFormatting>
  <conditionalFormatting sqref="I9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421" priority="36" operator="equal">
      <formula>"ДА"</formula>
    </cfRule>
    <cfRule type="cellIs" dxfId="420" priority="37" operator="equal">
      <formula>"НЕТ"</formula>
    </cfRule>
  </conditionalFormatting>
  <conditionalFormatting sqref="I5">
    <cfRule type="colorScale" priority="4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8">
      <iconSet iconSet="3Symbols">
        <cfvo type="percent" val="0"/>
        <cfvo type="percent" val="33"/>
        <cfvo type="percent" val="67"/>
      </iconSet>
    </cfRule>
    <cfRule type="expression" priority="39">
      <formula>"H71=1"</formula>
    </cfRule>
  </conditionalFormatting>
  <conditionalFormatting sqref="I14">
    <cfRule type="cellIs" dxfId="419" priority="32" operator="equal">
      <formula>"ДА"</formula>
    </cfRule>
    <cfRule type="cellIs" dxfId="418" priority="33" operator="equal">
      <formula>"НЕТ"</formula>
    </cfRule>
  </conditionalFormatting>
  <conditionalFormatting sqref="H14">
    <cfRule type="iconSet" priority="34">
      <iconSet iconSet="3Symbols">
        <cfvo type="percent" val="0"/>
        <cfvo type="percent" val="33"/>
        <cfvo type="percent" val="67"/>
      </iconSet>
    </cfRule>
    <cfRule type="expression" priority="35">
      <formula>"H71=1"</formula>
    </cfRule>
  </conditionalFormatting>
  <conditionalFormatting sqref="I18">
    <cfRule type="cellIs" dxfId="417" priority="30" operator="equal">
      <formula>"ДА"</formula>
    </cfRule>
    <cfRule type="cellIs" dxfId="416" priority="31" operator="equal">
      <formula>"НЕТ"</formula>
    </cfRule>
  </conditionalFormatting>
  <conditionalFormatting sqref="I19:I21">
    <cfRule type="cellIs" dxfId="415" priority="28" operator="equal">
      <formula>"ДА"</formula>
    </cfRule>
    <cfRule type="cellIs" dxfId="414" priority="29" operator="equal">
      <formula>"НЕТ"</formula>
    </cfRule>
  </conditionalFormatting>
  <conditionalFormatting sqref="K3:K21">
    <cfRule type="cellIs" dxfId="413" priority="27" operator="greaterThan">
      <formula>0</formula>
    </cfRule>
  </conditionalFormatting>
  <conditionalFormatting sqref="I15:I21">
    <cfRule type="cellIs" dxfId="412" priority="24" operator="equal">
      <formula>"НЕТ"</formula>
    </cfRule>
  </conditionalFormatting>
  <conditionalFormatting sqref="I3:I21">
    <cfRule type="cellIs" dxfId="411" priority="22" operator="equal">
      <formula>"НЕТ"</formula>
    </cfRule>
    <cfRule type="cellIs" dxfId="410" priority="23" operator="equal">
      <formula>"ДА"</formula>
    </cfRule>
  </conditionalFormatting>
  <conditionalFormatting sqref="I3:I18">
    <cfRule type="cellIs" dxfId="409" priority="21" operator="equal">
      <formula>"ДА"</formula>
    </cfRule>
  </conditionalFormatting>
  <conditionalFormatting sqref="I5">
    <cfRule type="cellIs" dxfId="408" priority="18" operator="equal">
      <formula>"ДА"</formula>
    </cfRule>
    <cfRule type="cellIs" dxfId="407" priority="19" operator="equal">
      <formula>"НЕТ"</formula>
    </cfRule>
  </conditionalFormatting>
  <conditionalFormatting sqref="I5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406" priority="15" operator="equal">
      <formula>"ДА"</formula>
    </cfRule>
    <cfRule type="cellIs" dxfId="405" priority="16" operator="equal">
      <formula>"НЕТ"</formula>
    </cfRule>
  </conditionalFormatting>
  <conditionalFormatting sqref="I9">
    <cfRule type="colorScale" priority="1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404" priority="3" operator="greaterThan">
      <formula>0</formula>
    </cfRule>
    <cfRule type="cellIs" dxfId="403" priority="14" operator="greaterThan">
      <formula>0</formula>
    </cfRule>
  </conditionalFormatting>
  <conditionalFormatting sqref="C61:E61">
    <cfRule type="cellIs" dxfId="402" priority="13" operator="greaterThan">
      <formula>0</formula>
    </cfRule>
  </conditionalFormatting>
  <conditionalFormatting sqref="C62:E62">
    <cfRule type="cellIs" dxfId="401" priority="12" operator="greaterThan">
      <formula>0</formula>
    </cfRule>
  </conditionalFormatting>
  <conditionalFormatting sqref="C61:E62">
    <cfRule type="cellIs" dxfId="400" priority="11" operator="greaterThan">
      <formula>0</formula>
    </cfRule>
  </conditionalFormatting>
  <conditionalFormatting sqref="C61:E62">
    <cfRule type="cellIs" dxfId="399" priority="10" operator="greaterThan">
      <formula>0</formula>
    </cfRule>
  </conditionalFormatting>
  <conditionalFormatting sqref="I5">
    <cfRule type="cellIs" dxfId="398" priority="7" operator="equal">
      <formula>"ДА"</formula>
    </cfRule>
    <cfRule type="cellIs" dxfId="397" priority="8" operator="equal">
      <formula>"НЕТ"</formula>
    </cfRule>
  </conditionalFormatting>
  <conditionalFormatting sqref="I5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8">
    <cfRule type="cellIs" dxfId="396" priority="6" operator="greaterThan">
      <formula>0</formula>
    </cfRule>
  </conditionalFormatting>
  <conditionalFormatting sqref="C68:E68 C23:E65">
    <cfRule type="cellIs" dxfId="395" priority="5" operator="greaterThan">
      <formula>0</formula>
    </cfRule>
  </conditionalFormatting>
  <conditionalFormatting sqref="E69">
    <cfRule type="cellIs" dxfId="394" priority="4" operator="greaterThan">
      <formula>0</formula>
    </cfRule>
  </conditionalFormatting>
  <conditionalFormatting sqref="C19:C20">
    <cfRule type="cellIs" dxfId="393" priority="2" operator="greaterThan">
      <formula>0</formula>
    </cfRule>
  </conditionalFormatting>
  <conditionalFormatting sqref="C66:E67">
    <cfRule type="cellIs" dxfId="39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37"/>
  <sheetViews>
    <sheetView topLeftCell="A4" zoomScale="130" zoomScaleNormal="130" workbookViewId="0">
      <selection activeCell="H24" sqref="H24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1057" t="s">
        <v>573</v>
      </c>
      <c r="B1" s="1058"/>
      <c r="C1" s="1058"/>
      <c r="D1" s="1058"/>
      <c r="E1" s="286"/>
      <c r="F1" s="11"/>
    </row>
    <row r="2" spans="1:13" ht="14.25">
      <c r="A2" s="8" t="s">
        <v>3</v>
      </c>
      <c r="B2" s="12"/>
      <c r="C2" s="13"/>
      <c r="D2" s="13"/>
      <c r="E2" s="13"/>
      <c r="F2" s="14"/>
      <c r="H2" s="1059" t="s">
        <v>122</v>
      </c>
      <c r="I2" s="1060"/>
      <c r="J2" s="1060"/>
      <c r="K2" s="1060"/>
      <c r="L2" s="1060"/>
      <c r="M2" s="1061"/>
    </row>
    <row r="3" spans="1:13" ht="12" thickBot="1">
      <c r="A3" s="9" t="s">
        <v>10</v>
      </c>
      <c r="B3" s="871">
        <v>1.4</v>
      </c>
      <c r="C3" s="13"/>
      <c r="D3" s="13"/>
      <c r="E3" s="13"/>
      <c r="F3" s="14"/>
      <c r="H3" s="1062"/>
      <c r="I3" s="1063"/>
      <c r="J3" s="1063"/>
      <c r="K3" s="1063"/>
      <c r="L3" s="1063"/>
      <c r="M3" s="1064"/>
    </row>
    <row r="4" spans="1:13">
      <c r="A4" s="9" t="s">
        <v>1</v>
      </c>
      <c r="B4" s="871">
        <v>1</v>
      </c>
      <c r="C4" s="13"/>
      <c r="D4" s="13"/>
      <c r="E4" s="13"/>
      <c r="F4" s="14"/>
    </row>
    <row r="5" spans="1:13">
      <c r="A5" s="9" t="s">
        <v>2</v>
      </c>
      <c r="B5" s="871">
        <v>1</v>
      </c>
      <c r="C5" s="13"/>
      <c r="D5" s="13"/>
      <c r="E5" s="13"/>
      <c r="F5" s="14"/>
    </row>
    <row r="6" spans="1:13">
      <c r="A6" s="9" t="s">
        <v>130</v>
      </c>
      <c r="B6" s="871">
        <v>10</v>
      </c>
      <c r="C6" s="13"/>
      <c r="D6" s="13"/>
      <c r="E6" s="13"/>
      <c r="F6" s="14"/>
    </row>
    <row r="7" spans="1:13">
      <c r="A7" s="9" t="s">
        <v>568</v>
      </c>
      <c r="B7" s="871">
        <v>2</v>
      </c>
      <c r="C7" s="13"/>
      <c r="D7" s="13"/>
      <c r="E7" s="13"/>
      <c r="F7" s="14"/>
    </row>
    <row r="8" spans="1:13">
      <c r="A8" s="9" t="s">
        <v>571</v>
      </c>
      <c r="B8" s="871">
        <v>2</v>
      </c>
      <c r="C8" s="13"/>
      <c r="D8" s="13"/>
      <c r="E8" s="13"/>
      <c r="F8" s="14"/>
    </row>
    <row r="9" spans="1:13" ht="12" thickBot="1">
      <c r="A9" s="10" t="s">
        <v>572</v>
      </c>
      <c r="B9" s="872">
        <v>50</v>
      </c>
      <c r="C9" s="13"/>
      <c r="D9" s="13"/>
      <c r="E9" s="13"/>
      <c r="F9" s="14"/>
    </row>
    <row r="10" spans="1:13">
      <c r="A10" s="16"/>
      <c r="B10" s="17"/>
      <c r="C10" s="13"/>
      <c r="D10" s="13"/>
      <c r="E10" s="13"/>
      <c r="F10" s="14"/>
    </row>
    <row r="11" spans="1:13" ht="12" thickBot="1">
      <c r="A11" s="18" t="s">
        <v>11</v>
      </c>
      <c r="B11" s="19"/>
      <c r="C11" s="19"/>
      <c r="D11" s="19"/>
      <c r="E11" s="19"/>
      <c r="F11" s="14"/>
    </row>
    <row r="12" spans="1:13">
      <c r="A12" s="20"/>
      <c r="B12" s="21" t="s">
        <v>12</v>
      </c>
      <c r="C12" s="22" t="s">
        <v>4</v>
      </c>
      <c r="D12" s="22" t="s">
        <v>13</v>
      </c>
      <c r="E12" s="12"/>
      <c r="F12" s="14"/>
    </row>
    <row r="13" spans="1:13" ht="12.75" customHeight="1">
      <c r="A13" s="23" t="s">
        <v>104</v>
      </c>
      <c r="B13" s="24"/>
      <c r="C13" s="743">
        <v>9</v>
      </c>
      <c r="D13" s="123">
        <f>4*B5</f>
        <v>4</v>
      </c>
      <c r="E13" s="26">
        <f t="shared" ref="E13:E25" si="0">D13*C13</f>
        <v>36</v>
      </c>
      <c r="F13" s="14"/>
    </row>
    <row r="14" spans="1:13">
      <c r="A14" s="23" t="s">
        <v>230</v>
      </c>
      <c r="B14" s="24"/>
      <c r="C14" s="743"/>
      <c r="D14" s="123">
        <f>B5</f>
        <v>1</v>
      </c>
      <c r="E14" s="26">
        <f t="shared" si="0"/>
        <v>0</v>
      </c>
      <c r="F14" s="14"/>
    </row>
    <row r="15" spans="1:13">
      <c r="A15" s="23" t="s">
        <v>565</v>
      </c>
      <c r="B15" s="24"/>
      <c r="C15" s="743"/>
      <c r="D15" s="123">
        <f>(B3-0.012)*B5</f>
        <v>1.3879999999999999</v>
      </c>
      <c r="E15" s="26">
        <f t="shared" si="0"/>
        <v>0</v>
      </c>
      <c r="F15" s="14"/>
    </row>
    <row r="16" spans="1:13">
      <c r="A16" s="23" t="s">
        <v>14</v>
      </c>
      <c r="B16" s="24"/>
      <c r="C16" s="743"/>
      <c r="D16" s="123">
        <f>(B3-0.01)*B5</f>
        <v>1.39</v>
      </c>
      <c r="E16" s="26">
        <f t="shared" si="0"/>
        <v>0</v>
      </c>
      <c r="F16" s="14"/>
    </row>
    <row r="17" spans="1:6">
      <c r="A17" s="23" t="s">
        <v>574</v>
      </c>
      <c r="B17" s="24"/>
      <c r="C17" s="743"/>
      <c r="D17" s="123">
        <f>B5</f>
        <v>1</v>
      </c>
      <c r="E17" s="26"/>
      <c r="F17" s="14"/>
    </row>
    <row r="18" spans="1:6">
      <c r="A18" s="23" t="s">
        <v>575</v>
      </c>
      <c r="B18" s="24"/>
      <c r="C18" s="743"/>
      <c r="D18" s="123">
        <f>D16</f>
        <v>1.39</v>
      </c>
      <c r="E18" s="26"/>
      <c r="F18" s="14"/>
    </row>
    <row r="19" spans="1:6">
      <c r="A19" s="23" t="s">
        <v>115</v>
      </c>
      <c r="B19" s="28"/>
      <c r="C19" s="745"/>
      <c r="D19" s="123">
        <f>B5*2</f>
        <v>2</v>
      </c>
      <c r="E19" s="26">
        <f t="shared" si="0"/>
        <v>0</v>
      </c>
      <c r="F19" s="14"/>
    </row>
    <row r="20" spans="1:6">
      <c r="A20" s="23" t="s">
        <v>27</v>
      </c>
      <c r="B20" s="24"/>
      <c r="C20" s="743"/>
      <c r="D20" s="123">
        <f>(B4-0.07)*2*B5</f>
        <v>1.8599999999999999</v>
      </c>
      <c r="E20" s="26">
        <f t="shared" si="0"/>
        <v>0</v>
      </c>
      <c r="F20" s="14"/>
    </row>
    <row r="21" spans="1:6">
      <c r="A21" s="23" t="s">
        <v>17</v>
      </c>
      <c r="B21" s="24"/>
      <c r="C21" s="743"/>
      <c r="D21" s="123">
        <f>(B3-0.017)*B5</f>
        <v>1.383</v>
      </c>
      <c r="E21" s="26">
        <f t="shared" si="0"/>
        <v>0</v>
      </c>
      <c r="F21" s="14"/>
    </row>
    <row r="22" spans="1:6">
      <c r="A22" s="23" t="s">
        <v>18</v>
      </c>
      <c r="B22" s="24"/>
      <c r="C22" s="743"/>
      <c r="D22" s="123">
        <f>(B4-0.07)*B5*2</f>
        <v>1.8599999999999999</v>
      </c>
      <c r="E22" s="26">
        <f t="shared" si="0"/>
        <v>0</v>
      </c>
      <c r="F22" s="14"/>
    </row>
    <row r="23" spans="1:6">
      <c r="A23" s="23" t="s">
        <v>19</v>
      </c>
      <c r="B23" s="24"/>
      <c r="C23" s="748"/>
      <c r="D23" s="123">
        <f>B3*B5</f>
        <v>1.4</v>
      </c>
      <c r="E23" s="26">
        <f t="shared" si="0"/>
        <v>0</v>
      </c>
      <c r="F23" s="14"/>
    </row>
    <row r="24" spans="1:6">
      <c r="A24" s="23" t="s">
        <v>20</v>
      </c>
      <c r="B24" s="24"/>
      <c r="C24" s="748"/>
      <c r="D24" s="123">
        <f>B3*B5</f>
        <v>1.4</v>
      </c>
      <c r="E24" s="26">
        <f t="shared" si="0"/>
        <v>0</v>
      </c>
      <c r="F24" s="14"/>
    </row>
    <row r="25" spans="1:6">
      <c r="A25" s="23" t="s">
        <v>21</v>
      </c>
      <c r="B25" s="24"/>
      <c r="C25" s="743"/>
      <c r="D25" s="123">
        <f>B3*B5</f>
        <v>1.4</v>
      </c>
      <c r="E25" s="26">
        <f t="shared" si="0"/>
        <v>0</v>
      </c>
      <c r="F25" s="14"/>
    </row>
    <row r="26" spans="1:6">
      <c r="A26" s="23" t="s">
        <v>566</v>
      </c>
      <c r="B26" s="24"/>
      <c r="C26" s="743"/>
      <c r="D26" s="123">
        <f>B5</f>
        <v>1</v>
      </c>
      <c r="E26" s="26">
        <f>C26*D26</f>
        <v>0</v>
      </c>
      <c r="F26" s="14"/>
    </row>
    <row r="27" spans="1:6">
      <c r="A27" s="23" t="s">
        <v>570</v>
      </c>
      <c r="B27" s="24"/>
      <c r="C27" s="748"/>
      <c r="D27" s="123">
        <f>B8</f>
        <v>2</v>
      </c>
      <c r="E27" s="26">
        <f>D27*C27</f>
        <v>0</v>
      </c>
      <c r="F27" s="14"/>
    </row>
    <row r="28" spans="1:6">
      <c r="A28" s="23" t="s">
        <v>569</v>
      </c>
      <c r="B28" s="24"/>
      <c r="C28" s="748"/>
      <c r="D28" s="123">
        <f>B6</f>
        <v>10</v>
      </c>
      <c r="E28" s="26">
        <f>D28*C28</f>
        <v>0</v>
      </c>
      <c r="F28" s="14"/>
    </row>
    <row r="29" spans="1:6">
      <c r="A29" s="24" t="s">
        <v>567</v>
      </c>
      <c r="B29" s="287"/>
      <c r="C29" s="842"/>
      <c r="D29" s="287">
        <f>B7</f>
        <v>2</v>
      </c>
      <c r="E29" s="26">
        <f>D29*C29</f>
        <v>0</v>
      </c>
      <c r="F29" s="14"/>
    </row>
    <row r="30" spans="1:6">
      <c r="A30" s="16"/>
      <c r="B30" s="13"/>
      <c r="C30" s="868"/>
      <c r="D30" s="13"/>
      <c r="E30" s="35">
        <f>SUM(E13:E28)</f>
        <v>36</v>
      </c>
      <c r="F30" s="14"/>
    </row>
    <row r="31" spans="1:6">
      <c r="A31" s="16"/>
      <c r="B31" s="13"/>
      <c r="C31" s="868"/>
      <c r="D31" s="13"/>
      <c r="E31" s="13"/>
      <c r="F31" s="14"/>
    </row>
    <row r="32" spans="1:6" ht="12" thickBot="1">
      <c r="A32" s="18" t="s">
        <v>22</v>
      </c>
      <c r="B32" s="19"/>
      <c r="C32" s="869"/>
      <c r="D32" s="19"/>
      <c r="E32" s="13"/>
      <c r="F32" s="14"/>
    </row>
    <row r="33" spans="1:6">
      <c r="A33" s="36" t="s">
        <v>35</v>
      </c>
      <c r="B33" s="21"/>
      <c r="C33" s="870"/>
      <c r="D33" s="21"/>
      <c r="E33" s="12"/>
      <c r="F33" s="14"/>
    </row>
    <row r="34" spans="1:6" ht="12" thickBot="1">
      <c r="A34" s="30" t="s">
        <v>25</v>
      </c>
      <c r="B34" s="31"/>
      <c r="C34" s="755"/>
      <c r="D34" s="33">
        <f>(B4-0.07)*2*B5</f>
        <v>1.8599999999999999</v>
      </c>
      <c r="E34" s="34">
        <f>D34*C34</f>
        <v>0</v>
      </c>
      <c r="F34" s="14"/>
    </row>
    <row r="35" spans="1:6">
      <c r="A35" s="1065" t="s">
        <v>26</v>
      </c>
      <c r="B35" s="1066"/>
      <c r="C35" s="1066"/>
      <c r="D35" s="1067"/>
      <c r="E35" s="37">
        <f>SUM(E34:E34)+E30</f>
        <v>36</v>
      </c>
      <c r="F35" s="14"/>
    </row>
    <row r="36" spans="1:6">
      <c r="A36" s="40"/>
      <c r="B36" s="13"/>
      <c r="C36" s="13"/>
      <c r="D36" s="13"/>
      <c r="E36" s="35"/>
      <c r="F36" s="14"/>
    </row>
    <row r="37" spans="1:6" ht="15.75" thickBot="1">
      <c r="A37" s="41" t="s">
        <v>28</v>
      </c>
      <c r="B37" s="38"/>
      <c r="C37" s="38"/>
      <c r="D37" s="38"/>
      <c r="E37" s="38"/>
      <c r="F37" s="39"/>
    </row>
  </sheetData>
  <sheetProtection algorithmName="SHA-512" hashValue="eSaeUWdTBc/O4RMnWbEBws+PLXlI08/HpvnXGBoB3yx5l2OPVIcYJYoiPpsPiG7lmtPIiPAeQH1BYkov1tN/qg==" saltValue="GtYpbtB4g9IQ93W3IOlCjQ==" spinCount="100000" sheet="1" objects="1" scenarios="1"/>
  <mergeCells count="3">
    <mergeCell ref="A1:D1"/>
    <mergeCell ref="H2:M3"/>
    <mergeCell ref="A35:D35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/>
  <dimension ref="A1:M63"/>
  <sheetViews>
    <sheetView workbookViewId="0">
      <pane ySplit="19" topLeftCell="A38" activePane="bottomLeft" state="frozen"/>
      <selection pane="bottomLeft" activeCell="G51" sqref="G51"/>
    </sheetView>
  </sheetViews>
  <sheetFormatPr defaultRowHeight="11.25"/>
  <cols>
    <col min="1" max="1" width="5.33203125" customWidth="1"/>
    <col min="2" max="2" width="54.33203125" customWidth="1"/>
    <col min="4" max="4" width="11.83203125" customWidth="1"/>
    <col min="5" max="5" width="12.1640625" customWidth="1"/>
    <col min="6" max="6" width="18.5" customWidth="1"/>
    <col min="7" max="7" width="3.5" customWidth="1"/>
    <col min="8" max="8" width="48.33203125" customWidth="1"/>
    <col min="9" max="9" width="4.6640625" customWidth="1"/>
  </cols>
  <sheetData>
    <row r="1" spans="1:13" ht="56.25" customHeight="1" thickBot="1">
      <c r="A1" s="408"/>
      <c r="B1" s="1286"/>
      <c r="C1" s="1287"/>
      <c r="D1" s="1287"/>
      <c r="E1" s="1287"/>
      <c r="F1" s="408"/>
      <c r="G1" s="408"/>
      <c r="H1" s="408"/>
      <c r="I1" s="408"/>
      <c r="J1" s="408"/>
      <c r="K1" s="408"/>
      <c r="L1" s="408"/>
      <c r="M1" s="408"/>
    </row>
    <row r="2" spans="1:13" ht="12" customHeight="1" thickBot="1">
      <c r="A2" s="408"/>
      <c r="B2" s="410" t="s">
        <v>666</v>
      </c>
      <c r="C2" s="461">
        <v>3</v>
      </c>
      <c r="D2" s="1238" t="s">
        <v>595</v>
      </c>
      <c r="E2" s="1239"/>
      <c r="F2" s="1240"/>
      <c r="G2" s="442"/>
      <c r="H2" s="412" t="s">
        <v>485</v>
      </c>
      <c r="I2" s="413" t="s">
        <v>604</v>
      </c>
      <c r="J2" s="479" t="s">
        <v>4</v>
      </c>
      <c r="K2" s="480" t="s">
        <v>8</v>
      </c>
      <c r="L2" s="408"/>
      <c r="M2" s="408"/>
    </row>
    <row r="3" spans="1:13" ht="12" customHeight="1" thickBot="1">
      <c r="A3" s="408"/>
      <c r="B3" s="415" t="s">
        <v>667</v>
      </c>
      <c r="C3" s="593">
        <v>1</v>
      </c>
      <c r="D3" s="1241"/>
      <c r="E3" s="1242"/>
      <c r="F3" s="1243"/>
      <c r="G3" s="442"/>
      <c r="H3" s="416" t="s">
        <v>372</v>
      </c>
      <c r="I3" s="417" t="str">
        <f>IF(AND($C$7=1,$C$5+$C$6+$C$8=0,$C$9=2),"ДА","НЕТ")</f>
        <v>НЕТ</v>
      </c>
      <c r="J3" s="321"/>
      <c r="K3" s="322">
        <f>IF(I3="ДА",$C$10*J3,0)</f>
        <v>0</v>
      </c>
      <c r="L3" s="408"/>
      <c r="M3" s="408"/>
    </row>
    <row r="4" spans="1:13" ht="12" customHeight="1" thickBot="1">
      <c r="A4" s="408"/>
      <c r="B4" s="432" t="s">
        <v>127</v>
      </c>
      <c r="C4" s="597">
        <v>2</v>
      </c>
      <c r="D4" s="1290" t="s">
        <v>128</v>
      </c>
      <c r="E4" s="1291"/>
      <c r="F4" s="1292"/>
      <c r="G4" s="442"/>
      <c r="H4" s="419" t="s">
        <v>373</v>
      </c>
      <c r="I4" s="417" t="str">
        <f>IF(AND($C$7=1,$C$5+$C$6+$C$8=0,$C$9=2),"ДА","НЕТ")</f>
        <v>НЕТ</v>
      </c>
      <c r="J4" s="398"/>
      <c r="K4" s="322">
        <f>IF(I4="ДА",$C$10*J4,0)</f>
        <v>0</v>
      </c>
      <c r="L4" s="408"/>
      <c r="M4" s="408"/>
    </row>
    <row r="5" spans="1:13" ht="12" customHeight="1">
      <c r="A5" s="408"/>
      <c r="B5" s="422" t="s">
        <v>492</v>
      </c>
      <c r="C5" s="606">
        <v>0</v>
      </c>
      <c r="D5" s="425" t="s">
        <v>287</v>
      </c>
      <c r="E5" s="693" t="s">
        <v>255</v>
      </c>
      <c r="F5" s="1247" t="s">
        <v>597</v>
      </c>
      <c r="G5" s="442"/>
      <c r="H5" s="419" t="s">
        <v>374</v>
      </c>
      <c r="I5" s="417" t="str">
        <f>IF(AND($C$7=1,$C$5+$C$6+$C$8=0,$C$9=2),"ДА","НЕТ")</f>
        <v>НЕТ</v>
      </c>
      <c r="J5" s="398"/>
      <c r="K5" s="322">
        <f t="shared" ref="K5:K17" si="0">IF(I5="ДА",$C$10*J5,0)</f>
        <v>0</v>
      </c>
      <c r="L5" s="408"/>
      <c r="M5" s="408"/>
    </row>
    <row r="6" spans="1:13" ht="12" customHeight="1">
      <c r="A6" s="408"/>
      <c r="B6" s="420" t="s">
        <v>493</v>
      </c>
      <c r="C6" s="605">
        <v>1</v>
      </c>
      <c r="D6" s="427" t="s">
        <v>287</v>
      </c>
      <c r="E6" s="647" t="s">
        <v>255</v>
      </c>
      <c r="F6" s="1247"/>
      <c r="G6" s="442"/>
      <c r="H6" s="421" t="s">
        <v>376</v>
      </c>
      <c r="I6" s="417" t="str">
        <f>IF(AND($C$7=1,$C$5+$C$6+$C$8=0,$C$9=3),"ДА","НЕТ")</f>
        <v>НЕТ</v>
      </c>
      <c r="J6" s="325"/>
      <c r="K6" s="322">
        <f t="shared" si="0"/>
        <v>0</v>
      </c>
      <c r="L6" s="408"/>
      <c r="M6" s="408"/>
    </row>
    <row r="7" spans="1:13" ht="12" customHeight="1">
      <c r="A7" s="408"/>
      <c r="B7" s="420" t="s">
        <v>490</v>
      </c>
      <c r="C7" s="605">
        <v>0</v>
      </c>
      <c r="D7" s="427" t="s">
        <v>287</v>
      </c>
      <c r="E7" s="647" t="s">
        <v>255</v>
      </c>
      <c r="F7" s="1247"/>
      <c r="G7" s="442"/>
      <c r="H7" s="419" t="s">
        <v>489</v>
      </c>
      <c r="I7" s="417" t="str">
        <f>IF(AND($C$8=1,$C$5+$C$6+$C$7=0,$C$9=1),"ДА","НЕТ")</f>
        <v>НЕТ</v>
      </c>
      <c r="J7" s="398"/>
      <c r="K7" s="322">
        <f t="shared" si="0"/>
        <v>0</v>
      </c>
      <c r="L7" s="408"/>
      <c r="M7" s="408"/>
    </row>
    <row r="8" spans="1:13" ht="12" customHeight="1" thickBot="1">
      <c r="A8" s="408"/>
      <c r="B8" s="443" t="s">
        <v>491</v>
      </c>
      <c r="C8" s="604">
        <v>0</v>
      </c>
      <c r="D8" s="430" t="s">
        <v>287</v>
      </c>
      <c r="E8" s="434" t="s">
        <v>255</v>
      </c>
      <c r="F8" s="1248"/>
      <c r="G8" s="442"/>
      <c r="H8" s="421" t="s">
        <v>486</v>
      </c>
      <c r="I8" s="417" t="str">
        <f>IF(AND($C$8=1,$C$5+$C$6+$C$7=0,$C$9=3),"ДА","НЕТ")</f>
        <v>НЕТ</v>
      </c>
      <c r="J8" s="325"/>
      <c r="K8" s="322">
        <f t="shared" si="0"/>
        <v>0</v>
      </c>
      <c r="L8" s="408"/>
      <c r="M8" s="408"/>
    </row>
    <row r="9" spans="1:13" ht="12" customHeight="1" thickBot="1">
      <c r="A9" s="408"/>
      <c r="B9" s="432" t="s">
        <v>589</v>
      </c>
      <c r="C9" s="596">
        <v>0</v>
      </c>
      <c r="D9" s="436" t="s">
        <v>619</v>
      </c>
      <c r="E9" s="437" t="s">
        <v>620</v>
      </c>
      <c r="F9" s="439" t="s">
        <v>621</v>
      </c>
      <c r="G9" s="442"/>
      <c r="H9" s="421" t="s">
        <v>487</v>
      </c>
      <c r="I9" s="417" t="str">
        <f>IF(AND($C$8=1,$C$5+$C$6+$C$7=0,$C$9=2),"ДА","НЕТ")</f>
        <v>НЕТ</v>
      </c>
      <c r="J9" s="325"/>
      <c r="K9" s="322">
        <f t="shared" si="0"/>
        <v>0</v>
      </c>
      <c r="L9" s="408"/>
      <c r="M9" s="408"/>
    </row>
    <row r="10" spans="1:13" ht="12" customHeight="1" thickBot="1">
      <c r="A10" s="408"/>
      <c r="B10" s="422" t="s">
        <v>123</v>
      </c>
      <c r="C10" s="598">
        <v>1</v>
      </c>
      <c r="D10" s="1290" t="s">
        <v>675</v>
      </c>
      <c r="E10" s="1291"/>
      <c r="F10" s="1292"/>
      <c r="G10" s="442"/>
      <c r="H10" s="421" t="s">
        <v>488</v>
      </c>
      <c r="I10" s="417" t="str">
        <f>IF(AND($C$8=1,$C$5+$C$6+$C$7=0,$C$9=2),"ДА","НЕТ")</f>
        <v>НЕТ</v>
      </c>
      <c r="J10" s="325"/>
      <c r="K10" s="322">
        <f t="shared" si="0"/>
        <v>0</v>
      </c>
      <c r="L10" s="408"/>
      <c r="M10" s="408"/>
    </row>
    <row r="11" spans="1:13" ht="12" customHeight="1" thickBot="1">
      <c r="A11" s="408"/>
      <c r="B11" s="432" t="s">
        <v>358</v>
      </c>
      <c r="C11" s="596">
        <v>0</v>
      </c>
      <c r="D11" s="436" t="s">
        <v>359</v>
      </c>
      <c r="E11" s="439" t="s">
        <v>360</v>
      </c>
      <c r="F11" s="632"/>
      <c r="G11" s="442"/>
      <c r="H11" s="421" t="s">
        <v>494</v>
      </c>
      <c r="I11" s="417" t="str">
        <f>IF(AND($C$8=1,$C$5+$C$6+$C$7=0,$C$9=2),"ДА","НЕТ")</f>
        <v>НЕТ</v>
      </c>
      <c r="J11" s="325"/>
      <c r="K11" s="322">
        <f t="shared" si="0"/>
        <v>0</v>
      </c>
      <c r="L11" s="408"/>
      <c r="M11" s="408"/>
    </row>
    <row r="12" spans="1:13" ht="12" customHeight="1" thickBot="1">
      <c r="A12" s="408"/>
      <c r="B12" s="694" t="s">
        <v>502</v>
      </c>
      <c r="C12" s="599">
        <v>0</v>
      </c>
      <c r="D12" s="1290" t="s">
        <v>540</v>
      </c>
      <c r="E12" s="1291"/>
      <c r="F12" s="1292"/>
      <c r="G12" s="442"/>
      <c r="H12" s="416" t="s">
        <v>381</v>
      </c>
      <c r="I12" s="417" t="str">
        <f>IF(AND($C$5=1,$C$8+$C$7+$C$6=0,$C$9=1),"ДА","НЕТ")</f>
        <v>НЕТ</v>
      </c>
      <c r="J12" s="328"/>
      <c r="K12" s="322">
        <f t="shared" si="0"/>
        <v>0</v>
      </c>
      <c r="L12" s="408"/>
      <c r="M12" s="408"/>
    </row>
    <row r="13" spans="1:13" ht="12" customHeight="1">
      <c r="A13" s="408"/>
      <c r="B13" s="410" t="s">
        <v>397</v>
      </c>
      <c r="C13" s="600">
        <v>0</v>
      </c>
      <c r="D13" s="423" t="s">
        <v>287</v>
      </c>
      <c r="E13" s="628" t="s">
        <v>255</v>
      </c>
      <c r="F13" s="1259" t="s">
        <v>597</v>
      </c>
      <c r="G13" s="442"/>
      <c r="H13" s="416" t="s">
        <v>382</v>
      </c>
      <c r="I13" s="417" t="str">
        <f>IF(AND($C$5=1,$C$8+$C$7+$C$6=0,$C$9=3),"ДА","НЕТ")</f>
        <v>НЕТ</v>
      </c>
      <c r="J13" s="328"/>
      <c r="K13" s="322">
        <f t="shared" si="0"/>
        <v>0</v>
      </c>
      <c r="L13" s="408"/>
      <c r="M13" s="408"/>
    </row>
    <row r="14" spans="1:13" ht="12" customHeight="1" thickBot="1">
      <c r="A14" s="408"/>
      <c r="B14" s="415" t="s">
        <v>398</v>
      </c>
      <c r="C14" s="601">
        <v>0</v>
      </c>
      <c r="D14" s="430" t="s">
        <v>287</v>
      </c>
      <c r="E14" s="434" t="s">
        <v>255</v>
      </c>
      <c r="F14" s="1260"/>
      <c r="G14" s="442"/>
      <c r="H14" s="416" t="s">
        <v>383</v>
      </c>
      <c r="I14" s="417" t="str">
        <f>IF(AND($C$6=1,$C$7+$C$8+$C$5=0,$C$9=1),"ДА","НЕТ")</f>
        <v>НЕТ</v>
      </c>
      <c r="J14" s="328"/>
      <c r="K14" s="322">
        <f t="shared" si="0"/>
        <v>0</v>
      </c>
      <c r="L14" s="408"/>
      <c r="M14" s="408"/>
    </row>
    <row r="15" spans="1:13" ht="12" customHeight="1">
      <c r="A15" s="408"/>
      <c r="B15" s="410" t="s">
        <v>147</v>
      </c>
      <c r="C15" s="467">
        <v>0</v>
      </c>
      <c r="D15" s="1249" t="s">
        <v>686</v>
      </c>
      <c r="E15" s="1250"/>
      <c r="F15" s="1251"/>
      <c r="G15" s="442"/>
      <c r="H15" s="419" t="s">
        <v>384</v>
      </c>
      <c r="I15" s="417" t="str">
        <f>IF(AND($C$6=1,$C$7+$C$8+$C$5=0,$C$9=1),"ДА","НЕТ")</f>
        <v>НЕТ</v>
      </c>
      <c r="J15" s="328"/>
      <c r="K15" s="322">
        <f t="shared" si="0"/>
        <v>0</v>
      </c>
      <c r="L15" s="408"/>
      <c r="M15" s="408"/>
    </row>
    <row r="16" spans="1:13" ht="12" customHeight="1">
      <c r="A16" s="408"/>
      <c r="B16" s="420" t="s">
        <v>146</v>
      </c>
      <c r="C16" s="464">
        <v>0</v>
      </c>
      <c r="D16" s="1252" t="s">
        <v>687</v>
      </c>
      <c r="E16" s="1253"/>
      <c r="F16" s="1254"/>
      <c r="G16" s="442"/>
      <c r="H16" s="416" t="s">
        <v>388</v>
      </c>
      <c r="I16" s="417" t="str">
        <f>IF(AND($C$6=1,$C$7+$C$8+$C$5=0,$C$9=2),"ДА","НЕТ")</f>
        <v>НЕТ</v>
      </c>
      <c r="J16" s="328"/>
      <c r="K16" s="322">
        <f t="shared" si="0"/>
        <v>0</v>
      </c>
      <c r="L16" s="408"/>
      <c r="M16" s="408"/>
    </row>
    <row r="17" spans="1:13" ht="12" customHeight="1" thickBot="1">
      <c r="A17" s="408"/>
      <c r="B17" s="415" t="s">
        <v>143</v>
      </c>
      <c r="C17" s="466">
        <v>0</v>
      </c>
      <c r="D17" s="1255" t="s">
        <v>688</v>
      </c>
      <c r="E17" s="1256"/>
      <c r="F17" s="1257"/>
      <c r="G17" s="442"/>
      <c r="H17" s="440" t="s">
        <v>389</v>
      </c>
      <c r="I17" s="441" t="str">
        <f>IF(AND($C$6=1,$C$7+$C$8+$C$5=0,$C$9=2),"ДА","НЕТ")</f>
        <v>НЕТ</v>
      </c>
      <c r="J17" s="335"/>
      <c r="K17" s="478">
        <f t="shared" si="0"/>
        <v>0</v>
      </c>
      <c r="L17" s="408"/>
      <c r="M17" s="408"/>
    </row>
    <row r="18" spans="1:13" s="73" customFormat="1" ht="12" customHeight="1" thickBot="1">
      <c r="A18" s="643"/>
      <c r="B18" s="642"/>
      <c r="C18" s="642"/>
      <c r="D18" s="642"/>
      <c r="E18" s="446"/>
      <c r="F18" s="446"/>
      <c r="G18" s="446"/>
      <c r="H18" s="567"/>
      <c r="I18" s="568"/>
      <c r="J18" s="339"/>
      <c r="K18" s="340"/>
      <c r="L18" s="643"/>
      <c r="M18" s="643"/>
    </row>
    <row r="19" spans="1:13" ht="12" customHeight="1" thickBot="1">
      <c r="A19" s="408"/>
      <c r="B19" s="695" t="s">
        <v>5</v>
      </c>
      <c r="C19" s="696" t="s">
        <v>0</v>
      </c>
      <c r="D19" s="697" t="s">
        <v>4</v>
      </c>
      <c r="E19" s="698" t="s">
        <v>8</v>
      </c>
      <c r="F19" s="442"/>
      <c r="G19" s="442"/>
      <c r="H19" s="442"/>
      <c r="I19" s="442"/>
      <c r="J19" s="442"/>
      <c r="K19" s="442"/>
      <c r="L19" s="408"/>
      <c r="M19" s="408"/>
    </row>
    <row r="20" spans="1:13" ht="12" customHeight="1">
      <c r="A20" s="408"/>
      <c r="B20" s="699" t="s">
        <v>401</v>
      </c>
      <c r="C20" s="602">
        <f>C2*C10</f>
        <v>3</v>
      </c>
      <c r="D20" s="595"/>
      <c r="E20" s="603">
        <f>C20*D20</f>
        <v>0</v>
      </c>
      <c r="F20" s="442"/>
      <c r="G20" s="442"/>
      <c r="H20" s="442"/>
      <c r="I20" s="442"/>
      <c r="J20" s="442"/>
      <c r="K20" s="442"/>
      <c r="L20" s="408"/>
      <c r="M20" s="408"/>
    </row>
    <row r="21" spans="1:13" ht="12" customHeight="1">
      <c r="A21" s="408"/>
      <c r="B21" s="454" t="s">
        <v>402</v>
      </c>
      <c r="C21" s="350">
        <f>IF(C14=1,C2*C10,0)</f>
        <v>0</v>
      </c>
      <c r="D21" s="556"/>
      <c r="E21" s="347">
        <f>C21*D21</f>
        <v>0</v>
      </c>
      <c r="F21" s="442"/>
      <c r="G21" s="442"/>
      <c r="H21" s="442"/>
      <c r="I21" s="442"/>
      <c r="J21" s="442"/>
      <c r="K21" s="442"/>
      <c r="L21" s="408"/>
      <c r="M21" s="408"/>
    </row>
    <row r="22" spans="1:13" ht="12" customHeight="1">
      <c r="A22" s="408"/>
      <c r="B22" s="452" t="s">
        <v>399</v>
      </c>
      <c r="C22" s="345">
        <f>IF(AND(C13=1,C14=0),(C4*C10)*2,0)</f>
        <v>0</v>
      </c>
      <c r="D22" s="556"/>
      <c r="E22" s="347">
        <f>C22*D22</f>
        <v>0</v>
      </c>
      <c r="F22" s="442"/>
      <c r="G22" s="442"/>
      <c r="H22" s="442"/>
      <c r="I22" s="442"/>
      <c r="J22" s="700"/>
      <c r="K22" s="442"/>
      <c r="L22" s="408"/>
      <c r="M22" s="408"/>
    </row>
    <row r="23" spans="1:13" ht="12" customHeight="1">
      <c r="A23" s="408"/>
      <c r="B23" s="452" t="s">
        <v>400</v>
      </c>
      <c r="C23" s="345">
        <f>IF(AND(C13=0,C14=1),C4*C10,0)</f>
        <v>0</v>
      </c>
      <c r="D23" s="556"/>
      <c r="E23" s="347">
        <f>C23*D23</f>
        <v>0</v>
      </c>
      <c r="F23" s="442"/>
      <c r="G23" s="442"/>
      <c r="H23" s="442"/>
      <c r="I23" s="442"/>
      <c r="J23" s="442"/>
      <c r="K23" s="442"/>
      <c r="L23" s="408"/>
      <c r="M23" s="408"/>
    </row>
    <row r="24" spans="1:13" ht="12" customHeight="1">
      <c r="A24" s="408"/>
      <c r="B24" s="454" t="s">
        <v>447</v>
      </c>
      <c r="C24" s="350">
        <f>IF(C11=0,C10*2,0)</f>
        <v>2</v>
      </c>
      <c r="D24" s="356"/>
      <c r="E24" s="347">
        <f t="shared" ref="E24:E58" si="1">C24*D24</f>
        <v>0</v>
      </c>
      <c r="F24" s="442"/>
      <c r="G24" s="442"/>
      <c r="H24" s="442"/>
      <c r="I24" s="442"/>
      <c r="J24" s="442"/>
      <c r="K24" s="442"/>
      <c r="L24" s="408"/>
      <c r="M24" s="408"/>
    </row>
    <row r="25" spans="1:13" ht="12" customHeight="1">
      <c r="A25" s="408"/>
      <c r="B25" s="454" t="s">
        <v>503</v>
      </c>
      <c r="C25" s="350">
        <f>IF(C11=0,((C4-1)+C12)*C10,0)</f>
        <v>1</v>
      </c>
      <c r="D25" s="356"/>
      <c r="E25" s="347">
        <f t="shared" si="1"/>
        <v>0</v>
      </c>
      <c r="F25" s="442"/>
      <c r="G25" s="442"/>
      <c r="H25" s="442"/>
      <c r="I25" s="442"/>
      <c r="J25" s="442"/>
      <c r="K25" s="442"/>
      <c r="L25" s="408"/>
      <c r="M25" s="408"/>
    </row>
    <row r="26" spans="1:13" ht="12" customHeight="1">
      <c r="A26" s="408"/>
      <c r="B26" s="454" t="s">
        <v>524</v>
      </c>
      <c r="C26" s="350">
        <f>IF(C11=1,C10*2,0)</f>
        <v>0</v>
      </c>
      <c r="D26" s="356"/>
      <c r="E26" s="347">
        <f>C26*D26</f>
        <v>0</v>
      </c>
      <c r="F26" s="442"/>
      <c r="G26" s="442"/>
      <c r="H26" s="442"/>
      <c r="I26" s="442"/>
      <c r="J26" s="442"/>
      <c r="K26" s="442"/>
      <c r="L26" s="408"/>
      <c r="M26" s="408"/>
    </row>
    <row r="27" spans="1:13" ht="12" customHeight="1">
      <c r="A27" s="408"/>
      <c r="B27" s="454" t="s">
        <v>542</v>
      </c>
      <c r="C27" s="350">
        <f>IF(C11=1,((C4-1)+C12)*C10,0)</f>
        <v>0</v>
      </c>
      <c r="D27" s="356"/>
      <c r="E27" s="347">
        <f>C27*D27</f>
        <v>0</v>
      </c>
      <c r="F27" s="442"/>
      <c r="G27" s="442"/>
      <c r="H27" s="442"/>
      <c r="I27" s="442"/>
      <c r="J27" s="442"/>
      <c r="K27" s="442"/>
      <c r="L27" s="408"/>
      <c r="M27" s="408"/>
    </row>
    <row r="28" spans="1:13" ht="12" customHeight="1">
      <c r="A28" s="408"/>
      <c r="B28" s="454" t="s">
        <v>609</v>
      </c>
      <c r="C28" s="350">
        <f>IF(C11=0,C10*2,0)</f>
        <v>2</v>
      </c>
      <c r="D28" s="356"/>
      <c r="E28" s="347">
        <f t="shared" si="1"/>
        <v>0</v>
      </c>
      <c r="F28" s="442"/>
      <c r="G28" s="442"/>
      <c r="H28" s="442"/>
      <c r="I28" s="442"/>
      <c r="J28" s="442"/>
      <c r="K28" s="442"/>
      <c r="L28" s="408"/>
      <c r="M28" s="408"/>
    </row>
    <row r="29" spans="1:13" ht="12" customHeight="1">
      <c r="A29" s="408"/>
      <c r="B29" s="454" t="s">
        <v>614</v>
      </c>
      <c r="C29" s="350">
        <f>IF(C11=1,C10*2,0)</f>
        <v>0</v>
      </c>
      <c r="D29" s="356"/>
      <c r="E29" s="347">
        <f>C29*D29</f>
        <v>0</v>
      </c>
      <c r="F29" s="442"/>
      <c r="G29" s="442"/>
      <c r="H29" s="442"/>
      <c r="I29" s="442"/>
      <c r="J29" s="442"/>
      <c r="K29" s="442"/>
      <c r="L29" s="408"/>
      <c r="M29" s="408"/>
    </row>
    <row r="30" spans="1:13" ht="12" customHeight="1">
      <c r="A30" s="408"/>
      <c r="B30" s="452" t="s">
        <v>474</v>
      </c>
      <c r="C30" s="345">
        <f>C2*C10*(C5+C7)</f>
        <v>0</v>
      </c>
      <c r="D30" s="399"/>
      <c r="E30" s="347">
        <f t="shared" si="1"/>
        <v>0</v>
      </c>
      <c r="F30" s="442"/>
      <c r="G30" s="442"/>
      <c r="H30" s="442"/>
      <c r="I30" s="442"/>
      <c r="J30" s="442"/>
      <c r="K30" s="442"/>
      <c r="L30" s="408"/>
      <c r="M30" s="408"/>
    </row>
    <row r="31" spans="1:13" ht="12" customHeight="1">
      <c r="A31" s="408"/>
      <c r="B31" s="454" t="s">
        <v>480</v>
      </c>
      <c r="C31" s="350">
        <f>C2*C10*(C6+C8)</f>
        <v>3</v>
      </c>
      <c r="D31" s="356"/>
      <c r="E31" s="347">
        <f t="shared" si="1"/>
        <v>0</v>
      </c>
      <c r="F31" s="442"/>
      <c r="G31" s="442"/>
      <c r="H31" s="442"/>
      <c r="I31" s="442"/>
      <c r="J31" s="442"/>
      <c r="K31" s="442"/>
      <c r="L31" s="408"/>
      <c r="M31" s="408"/>
    </row>
    <row r="32" spans="1:13" ht="12" customHeight="1">
      <c r="A32" s="408"/>
      <c r="B32" s="454" t="s">
        <v>477</v>
      </c>
      <c r="C32" s="350">
        <f>C2*C10</f>
        <v>3</v>
      </c>
      <c r="D32" s="556"/>
      <c r="E32" s="555">
        <f t="shared" si="1"/>
        <v>0</v>
      </c>
      <c r="F32" s="442"/>
      <c r="G32" s="442"/>
      <c r="H32" s="442"/>
      <c r="I32" s="442"/>
      <c r="J32" s="442"/>
      <c r="K32" s="442"/>
      <c r="L32" s="408"/>
      <c r="M32" s="408"/>
    </row>
    <row r="33" spans="1:13" ht="12" customHeight="1">
      <c r="A33" s="408"/>
      <c r="B33" s="452" t="s">
        <v>451</v>
      </c>
      <c r="C33" s="345">
        <f>C2*C10*(C5+C7)</f>
        <v>0</v>
      </c>
      <c r="D33" s="399"/>
      <c r="E33" s="347">
        <f t="shared" si="1"/>
        <v>0</v>
      </c>
      <c r="F33" s="442"/>
      <c r="G33" s="442"/>
      <c r="H33" s="442"/>
      <c r="I33" s="442"/>
      <c r="J33" s="442"/>
      <c r="K33" s="442"/>
      <c r="L33" s="408"/>
      <c r="M33" s="408"/>
    </row>
    <row r="34" spans="1:13" ht="12" customHeight="1">
      <c r="A34" s="408"/>
      <c r="B34" s="452" t="s">
        <v>450</v>
      </c>
      <c r="C34" s="345">
        <f>C2*C10*(C6+C8)</f>
        <v>3</v>
      </c>
      <c r="D34" s="399"/>
      <c r="E34" s="347">
        <f>C34*D34</f>
        <v>0</v>
      </c>
      <c r="F34" s="442"/>
      <c r="G34" s="442"/>
      <c r="H34" s="442"/>
      <c r="I34" s="442"/>
      <c r="J34" s="442"/>
      <c r="K34" s="442"/>
      <c r="L34" s="408"/>
      <c r="M34" s="408"/>
    </row>
    <row r="35" spans="1:13" ht="12" customHeight="1">
      <c r="A35" s="408"/>
      <c r="B35" s="454" t="s">
        <v>367</v>
      </c>
      <c r="C35" s="350">
        <f>C10*(C5+C7)</f>
        <v>0</v>
      </c>
      <c r="D35" s="356"/>
      <c r="E35" s="347">
        <f t="shared" si="1"/>
        <v>0</v>
      </c>
      <c r="F35" s="442"/>
      <c r="G35" s="442"/>
      <c r="H35" s="442"/>
      <c r="I35" s="442"/>
      <c r="J35" s="442"/>
      <c r="K35" s="442"/>
      <c r="L35" s="408"/>
      <c r="M35" s="408"/>
    </row>
    <row r="36" spans="1:13" ht="12" customHeight="1">
      <c r="A36" s="408"/>
      <c r="B36" s="454" t="s">
        <v>728</v>
      </c>
      <c r="C36" s="350">
        <f>C10*(C6+C8)</f>
        <v>1</v>
      </c>
      <c r="D36" s="356"/>
      <c r="E36" s="347">
        <f t="shared" si="1"/>
        <v>0</v>
      </c>
      <c r="F36" s="442"/>
      <c r="G36" s="442"/>
      <c r="H36" s="442"/>
      <c r="I36" s="442"/>
      <c r="J36" s="442"/>
      <c r="K36" s="442"/>
      <c r="L36" s="408"/>
      <c r="M36" s="408"/>
    </row>
    <row r="37" spans="1:13" ht="12" customHeight="1">
      <c r="A37" s="408"/>
      <c r="B37" s="454" t="s">
        <v>727</v>
      </c>
      <c r="C37" s="350">
        <f>C10*(C4*2-2)*(C6+C8)</f>
        <v>2</v>
      </c>
      <c r="D37" s="356"/>
      <c r="E37" s="572">
        <f>C37*D37</f>
        <v>0</v>
      </c>
      <c r="F37" s="442"/>
      <c r="G37" s="442"/>
      <c r="H37" s="442"/>
      <c r="I37" s="442"/>
      <c r="J37" s="442"/>
      <c r="K37" s="442"/>
      <c r="L37" s="408"/>
      <c r="M37" s="408"/>
    </row>
    <row r="38" spans="1:13" ht="12" customHeight="1">
      <c r="A38" s="408"/>
      <c r="B38" s="454" t="s">
        <v>504</v>
      </c>
      <c r="C38" s="350">
        <f>(C4-1)*C10</f>
        <v>1</v>
      </c>
      <c r="D38" s="356"/>
      <c r="E38" s="347">
        <f t="shared" si="1"/>
        <v>0</v>
      </c>
      <c r="F38" s="442"/>
      <c r="G38" s="442"/>
      <c r="H38" s="442"/>
      <c r="I38" s="442"/>
      <c r="J38" s="442"/>
      <c r="K38" s="442"/>
      <c r="L38" s="408"/>
      <c r="M38" s="408"/>
    </row>
    <row r="39" spans="1:13" ht="12" customHeight="1">
      <c r="A39" s="408"/>
      <c r="B39" s="454" t="s">
        <v>505</v>
      </c>
      <c r="C39" s="350">
        <f>(C4-1)*C10</f>
        <v>1</v>
      </c>
      <c r="D39" s="356"/>
      <c r="E39" s="347">
        <f t="shared" si="1"/>
        <v>0</v>
      </c>
      <c r="F39" s="442"/>
      <c r="G39" s="442"/>
      <c r="H39" s="442"/>
      <c r="I39" s="442"/>
      <c r="J39" s="442"/>
      <c r="K39" s="442"/>
      <c r="L39" s="408"/>
      <c r="M39" s="408"/>
    </row>
    <row r="40" spans="1:13" ht="12" customHeight="1">
      <c r="A40" s="408"/>
      <c r="B40" s="454" t="s">
        <v>828</v>
      </c>
      <c r="C40" s="350">
        <f>C10</f>
        <v>1</v>
      </c>
      <c r="D40" s="356"/>
      <c r="E40" s="347">
        <f t="shared" si="1"/>
        <v>0</v>
      </c>
      <c r="F40" s="442"/>
      <c r="G40" s="442"/>
      <c r="H40" s="442"/>
      <c r="I40" s="442"/>
      <c r="J40" s="442"/>
      <c r="K40" s="442"/>
      <c r="L40" s="408"/>
      <c r="M40" s="408"/>
    </row>
    <row r="41" spans="1:13" ht="12" customHeight="1">
      <c r="A41" s="408"/>
      <c r="B41" s="455" t="s">
        <v>506</v>
      </c>
      <c r="C41" s="402">
        <f>(C4-1+C12)*C10</f>
        <v>1</v>
      </c>
      <c r="D41" s="356"/>
      <c r="E41" s="403">
        <f t="shared" si="1"/>
        <v>0</v>
      </c>
      <c r="F41" s="442"/>
      <c r="G41" s="442"/>
      <c r="H41" s="442"/>
      <c r="I41" s="442"/>
      <c r="J41" s="442"/>
      <c r="K41" s="442"/>
      <c r="L41" s="408"/>
      <c r="M41" s="408"/>
    </row>
    <row r="42" spans="1:13" ht="12" customHeight="1">
      <c r="A42" s="408"/>
      <c r="B42" s="454" t="s">
        <v>368</v>
      </c>
      <c r="C42" s="350">
        <f>(C24+C25+C26+C27)*2</f>
        <v>6</v>
      </c>
      <c r="D42" s="556"/>
      <c r="E42" s="572">
        <f t="shared" si="1"/>
        <v>0</v>
      </c>
      <c r="F42" s="701"/>
      <c r="G42" s="442"/>
      <c r="H42" s="442"/>
      <c r="I42" s="442"/>
      <c r="J42" s="442"/>
      <c r="K42" s="442"/>
      <c r="L42" s="408"/>
      <c r="M42" s="408"/>
    </row>
    <row r="43" spans="1:13" ht="12" customHeight="1">
      <c r="A43" s="408"/>
      <c r="B43" s="452" t="s">
        <v>617</v>
      </c>
      <c r="C43" s="345">
        <f>C2*C10</f>
        <v>3</v>
      </c>
      <c r="D43" s="399"/>
      <c r="E43" s="347">
        <f t="shared" si="1"/>
        <v>0</v>
      </c>
      <c r="F43" s="442"/>
      <c r="G43" s="442"/>
      <c r="H43" s="442"/>
      <c r="I43" s="442"/>
      <c r="J43" s="442"/>
      <c r="K43" s="442"/>
      <c r="L43" s="408"/>
      <c r="M43" s="408"/>
    </row>
    <row r="44" spans="1:13" ht="12" customHeight="1">
      <c r="A44" s="408"/>
      <c r="B44" s="455" t="s">
        <v>507</v>
      </c>
      <c r="C44" s="402">
        <f>(C4-1+C12)*C10</f>
        <v>1</v>
      </c>
      <c r="D44" s="356"/>
      <c r="E44" s="403">
        <f t="shared" si="1"/>
        <v>0</v>
      </c>
      <c r="F44" s="442"/>
      <c r="G44" s="442"/>
      <c r="H44" s="442"/>
      <c r="I44" s="442"/>
      <c r="J44" s="442"/>
      <c r="K44" s="442"/>
      <c r="L44" s="408"/>
      <c r="M44" s="408"/>
    </row>
    <row r="45" spans="1:13" ht="12" customHeight="1">
      <c r="A45" s="408"/>
      <c r="B45" s="455" t="s">
        <v>508</v>
      </c>
      <c r="C45" s="402">
        <f>C12*C10</f>
        <v>0</v>
      </c>
      <c r="D45" s="356"/>
      <c r="E45" s="403">
        <f t="shared" si="1"/>
        <v>0</v>
      </c>
      <c r="F45" s="702"/>
      <c r="G45" s="442"/>
      <c r="H45" s="442"/>
      <c r="I45" s="442"/>
      <c r="J45" s="442"/>
      <c r="K45" s="442"/>
      <c r="L45" s="408"/>
      <c r="M45" s="408"/>
    </row>
    <row r="46" spans="1:13" ht="12" customHeight="1">
      <c r="A46" s="408"/>
      <c r="B46" s="454" t="s">
        <v>479</v>
      </c>
      <c r="C46" s="350">
        <f>EVEN(ROUNDDOWN(IF(C4&gt;0,(C2/0.5)*C10,0),0))</f>
        <v>6</v>
      </c>
      <c r="D46" s="351"/>
      <c r="E46" s="347">
        <f t="shared" si="1"/>
        <v>0</v>
      </c>
      <c r="F46" s="442"/>
      <c r="G46" s="442"/>
      <c r="H46" s="442"/>
      <c r="I46" s="442"/>
      <c r="J46" s="442"/>
      <c r="K46" s="442"/>
      <c r="L46" s="408"/>
      <c r="M46" s="408"/>
    </row>
    <row r="47" spans="1:13" ht="12" customHeight="1">
      <c r="A47" s="408"/>
      <c r="B47" s="455" t="s">
        <v>378</v>
      </c>
      <c r="C47" s="402">
        <f>C10*C8</f>
        <v>0</v>
      </c>
      <c r="D47" s="356"/>
      <c r="E47" s="403">
        <f t="shared" si="1"/>
        <v>0</v>
      </c>
      <c r="F47" s="442"/>
      <c r="G47" s="442"/>
      <c r="H47" s="442"/>
      <c r="I47" s="442"/>
      <c r="J47" s="442"/>
      <c r="K47" s="442"/>
      <c r="L47" s="408"/>
      <c r="M47" s="408"/>
    </row>
    <row r="48" spans="1:13" ht="12" customHeight="1">
      <c r="A48" s="408"/>
      <c r="B48" s="455" t="s">
        <v>386</v>
      </c>
      <c r="C48" s="402">
        <f>C10*C6</f>
        <v>1</v>
      </c>
      <c r="D48" s="356"/>
      <c r="E48" s="403">
        <f t="shared" si="1"/>
        <v>0</v>
      </c>
      <c r="F48" s="442"/>
      <c r="G48" s="442"/>
      <c r="H48" s="442"/>
      <c r="I48" s="442"/>
      <c r="J48" s="442"/>
      <c r="K48" s="442"/>
      <c r="L48" s="408"/>
      <c r="M48" s="408"/>
    </row>
    <row r="49" spans="1:13" ht="12" customHeight="1">
      <c r="A49" s="408"/>
      <c r="B49" s="455" t="s">
        <v>387</v>
      </c>
      <c r="C49" s="402">
        <f>C10*C6</f>
        <v>1</v>
      </c>
      <c r="D49" s="356"/>
      <c r="E49" s="403">
        <f t="shared" si="1"/>
        <v>0</v>
      </c>
      <c r="F49" s="442"/>
      <c r="G49" s="442"/>
      <c r="H49" s="442"/>
      <c r="I49" s="442"/>
      <c r="J49" s="442"/>
      <c r="K49" s="442"/>
      <c r="L49" s="408"/>
      <c r="M49" s="408"/>
    </row>
    <row r="50" spans="1:13" ht="12" customHeight="1">
      <c r="A50" s="408"/>
      <c r="B50" s="455" t="s">
        <v>377</v>
      </c>
      <c r="C50" s="402">
        <f>C10*C8</f>
        <v>0</v>
      </c>
      <c r="D50" s="356"/>
      <c r="E50" s="403">
        <f t="shared" si="1"/>
        <v>0</v>
      </c>
      <c r="F50" s="442"/>
      <c r="G50" s="442"/>
      <c r="H50" s="442"/>
      <c r="I50" s="442"/>
      <c r="J50" s="442"/>
      <c r="K50" s="442"/>
      <c r="L50" s="408"/>
      <c r="M50" s="408"/>
    </row>
    <row r="51" spans="1:13" ht="12" customHeight="1">
      <c r="A51" s="408"/>
      <c r="B51" s="455" t="s">
        <v>454</v>
      </c>
      <c r="C51" s="402">
        <f>(C5+C7)*C10</f>
        <v>0</v>
      </c>
      <c r="D51" s="356"/>
      <c r="E51" s="403">
        <f t="shared" si="1"/>
        <v>0</v>
      </c>
      <c r="F51" s="442"/>
      <c r="G51" s="442"/>
      <c r="H51" s="442"/>
      <c r="I51" s="442"/>
      <c r="J51" s="442"/>
      <c r="K51" s="442"/>
      <c r="L51" s="408"/>
      <c r="M51" s="408"/>
    </row>
    <row r="52" spans="1:13" ht="12" customHeight="1">
      <c r="A52" s="408"/>
      <c r="B52" s="455" t="s">
        <v>375</v>
      </c>
      <c r="C52" s="402">
        <f>C7*C10</f>
        <v>0</v>
      </c>
      <c r="D52" s="356"/>
      <c r="E52" s="403">
        <f t="shared" si="1"/>
        <v>0</v>
      </c>
      <c r="F52" s="442"/>
      <c r="G52" s="442"/>
      <c r="H52" s="442"/>
      <c r="I52" s="442"/>
      <c r="J52" s="442"/>
      <c r="K52" s="442"/>
      <c r="L52" s="408"/>
      <c r="M52" s="408"/>
    </row>
    <row r="53" spans="1:13" ht="12" customHeight="1">
      <c r="A53" s="408"/>
      <c r="B53" s="455" t="s">
        <v>495</v>
      </c>
      <c r="C53" s="402">
        <f>C7*C10</f>
        <v>0</v>
      </c>
      <c r="D53" s="356"/>
      <c r="E53" s="403">
        <f t="shared" si="1"/>
        <v>0</v>
      </c>
      <c r="F53" s="652"/>
      <c r="G53" s="442"/>
      <c r="H53" s="442"/>
      <c r="I53" s="442"/>
      <c r="J53" s="442"/>
      <c r="K53" s="442"/>
      <c r="L53" s="408"/>
      <c r="M53" s="408"/>
    </row>
    <row r="54" spans="1:13" ht="12" customHeight="1">
      <c r="A54" s="408"/>
      <c r="B54" s="455" t="s">
        <v>380</v>
      </c>
      <c r="C54" s="402">
        <f>C5*C10</f>
        <v>0</v>
      </c>
      <c r="D54" s="356"/>
      <c r="E54" s="403">
        <f t="shared" si="1"/>
        <v>0</v>
      </c>
      <c r="F54" s="653"/>
      <c r="G54" s="442"/>
      <c r="H54" s="442"/>
      <c r="I54" s="442"/>
      <c r="J54" s="442"/>
      <c r="K54" s="442"/>
      <c r="L54" s="408"/>
      <c r="M54" s="408"/>
    </row>
    <row r="55" spans="1:13" ht="12" customHeight="1">
      <c r="A55" s="408"/>
      <c r="B55" s="528" t="s">
        <v>145</v>
      </c>
      <c r="C55" s="509">
        <f>C16</f>
        <v>0</v>
      </c>
      <c r="D55" s="525"/>
      <c r="E55" s="403">
        <f t="shared" si="1"/>
        <v>0</v>
      </c>
      <c r="F55" s="653"/>
      <c r="G55" s="442"/>
      <c r="H55" s="442"/>
      <c r="I55" s="442"/>
      <c r="J55" s="442"/>
      <c r="K55" s="442"/>
      <c r="L55" s="408"/>
      <c r="M55" s="408"/>
    </row>
    <row r="56" spans="1:13" ht="12" customHeight="1">
      <c r="A56" s="408"/>
      <c r="B56" s="528" t="s">
        <v>148</v>
      </c>
      <c r="C56" s="509">
        <f>C15</f>
        <v>0</v>
      </c>
      <c r="D56" s="525"/>
      <c r="E56" s="403">
        <f t="shared" si="1"/>
        <v>0</v>
      </c>
      <c r="F56" s="653"/>
      <c r="G56" s="442"/>
      <c r="H56" s="442"/>
      <c r="I56" s="442"/>
      <c r="J56" s="442"/>
      <c r="K56" s="442"/>
      <c r="L56" s="408"/>
      <c r="M56" s="408"/>
    </row>
    <row r="57" spans="1:13" ht="12" customHeight="1">
      <c r="A57" s="408"/>
      <c r="B57" s="528" t="s">
        <v>689</v>
      </c>
      <c r="C57" s="509">
        <f>C17</f>
        <v>0</v>
      </c>
      <c r="D57" s="525"/>
      <c r="E57" s="403">
        <f t="shared" si="1"/>
        <v>0</v>
      </c>
      <c r="F57" s="653"/>
      <c r="G57" s="442"/>
      <c r="H57" s="442"/>
      <c r="I57" s="442"/>
      <c r="J57" s="442"/>
      <c r="K57" s="442"/>
      <c r="L57" s="408"/>
      <c r="M57" s="408"/>
    </row>
    <row r="58" spans="1:13" ht="12" customHeight="1" thickBot="1">
      <c r="A58" s="408"/>
      <c r="B58" s="457" t="s">
        <v>829</v>
      </c>
      <c r="C58" s="405">
        <f>C5*C10</f>
        <v>0</v>
      </c>
      <c r="D58" s="476"/>
      <c r="E58" s="407">
        <f t="shared" si="1"/>
        <v>0</v>
      </c>
      <c r="F58" s="653"/>
      <c r="G58" s="442"/>
      <c r="H58" s="442"/>
      <c r="I58" s="442"/>
      <c r="J58" s="442"/>
      <c r="K58" s="442"/>
      <c r="L58" s="408"/>
      <c r="M58" s="408"/>
    </row>
    <row r="59" spans="1:13" ht="12" customHeight="1" thickBot="1">
      <c r="A59" s="408"/>
      <c r="B59" s="442"/>
      <c r="C59" s="442"/>
      <c r="D59" s="458" t="s">
        <v>9</v>
      </c>
      <c r="E59" s="530">
        <f>SUMIF(E20:E58,"&gt;0",E20:E58)</f>
        <v>0</v>
      </c>
      <c r="F59" s="653"/>
      <c r="G59" s="442"/>
      <c r="H59" s="442"/>
      <c r="I59" s="442"/>
      <c r="J59" s="442"/>
      <c r="K59" s="442"/>
      <c r="L59" s="408"/>
      <c r="M59" s="408"/>
    </row>
    <row r="60" spans="1:13" ht="11.25" customHeight="1">
      <c r="A60" s="408"/>
      <c r="B60" s="442"/>
      <c r="C60" s="442"/>
      <c r="D60" s="442"/>
      <c r="E60" s="442"/>
      <c r="F60" s="654"/>
      <c r="G60" s="442"/>
      <c r="H60" s="442"/>
      <c r="I60" s="442"/>
      <c r="J60" s="442"/>
      <c r="K60" s="442"/>
      <c r="L60" s="408"/>
      <c r="M60" s="408"/>
    </row>
    <row r="61" spans="1:13">
      <c r="A61" s="408"/>
      <c r="B61" s="442"/>
      <c r="C61" s="442"/>
      <c r="D61" s="442"/>
      <c r="E61" s="442"/>
      <c r="F61" s="654"/>
      <c r="G61" s="442"/>
      <c r="H61" s="442"/>
      <c r="I61" s="442"/>
      <c r="J61" s="442"/>
      <c r="K61" s="442"/>
      <c r="L61" s="408"/>
      <c r="M61" s="408"/>
    </row>
    <row r="62" spans="1:13">
      <c r="A62" s="408"/>
      <c r="B62" s="442"/>
      <c r="C62" s="442"/>
      <c r="D62" s="442"/>
      <c r="E62" s="442"/>
      <c r="F62" s="442"/>
      <c r="G62" s="442"/>
      <c r="H62" s="442"/>
      <c r="I62" s="442"/>
      <c r="J62" s="442"/>
      <c r="K62" s="442"/>
      <c r="L62" s="408"/>
      <c r="M62" s="408"/>
    </row>
    <row r="63" spans="1:13">
      <c r="A63" s="408"/>
      <c r="B63" s="408"/>
      <c r="C63" s="408"/>
      <c r="D63" s="408"/>
      <c r="E63" s="408"/>
      <c r="F63" s="408"/>
      <c r="G63" s="408"/>
      <c r="H63" s="408"/>
      <c r="I63" s="408"/>
      <c r="J63" s="408"/>
      <c r="K63" s="408"/>
      <c r="L63" s="408"/>
      <c r="M63" s="408"/>
    </row>
  </sheetData>
  <sheetProtection algorithmName="SHA-512" hashValue="xMtYTN9Lxa160R4pq7tgmiTDdNID9cbCbtM7jBio+7yquJyNfYelfcmfRIW+KqumYK6Fkk7dheGf9bUvdCJTkA==" saltValue="XF8nhvP9cqwcV+oU12KmIw==" spinCount="100000" sheet="1"/>
  <mergeCells count="10">
    <mergeCell ref="D16:F16"/>
    <mergeCell ref="D17:F17"/>
    <mergeCell ref="F13:F14"/>
    <mergeCell ref="B1:E1"/>
    <mergeCell ref="D2:F3"/>
    <mergeCell ref="D12:F12"/>
    <mergeCell ref="D4:F4"/>
    <mergeCell ref="F5:F8"/>
    <mergeCell ref="D10:F10"/>
    <mergeCell ref="D15:F15"/>
  </mergeCells>
  <conditionalFormatting sqref="C2:C3">
    <cfRule type="cellIs" dxfId="391" priority="33" operator="greaterThan">
      <formula>0</formula>
    </cfRule>
  </conditionalFormatting>
  <conditionalFormatting sqref="C9">
    <cfRule type="cellIs" dxfId="390" priority="29" operator="greaterThan">
      <formula>0</formula>
    </cfRule>
  </conditionalFormatting>
  <conditionalFormatting sqref="C9">
    <cfRule type="cellIs" dxfId="389" priority="32" operator="greaterThan">
      <formula>0</formula>
    </cfRule>
  </conditionalFormatting>
  <conditionalFormatting sqref="C9">
    <cfRule type="cellIs" dxfId="388" priority="31" operator="greaterThan">
      <formula>0</formula>
    </cfRule>
  </conditionalFormatting>
  <conditionalFormatting sqref="C9">
    <cfRule type="cellIs" dxfId="387" priority="30" operator="greaterThan">
      <formula>0</formula>
    </cfRule>
  </conditionalFormatting>
  <conditionalFormatting sqref="C37:E37">
    <cfRule type="cellIs" dxfId="386" priority="22" operator="greaterThan">
      <formula>0</formula>
    </cfRule>
    <cfRule type="cellIs" dxfId="385" priority="23" operator="greaterThan">
      <formula>0</formula>
    </cfRule>
    <cfRule type="cellIs" dxfId="384" priority="24" operator="greaterThan">
      <formula>0</formula>
    </cfRule>
  </conditionalFormatting>
  <conditionalFormatting sqref="C31:E31">
    <cfRule type="cellIs" dxfId="383" priority="20" operator="greaterThan">
      <formula>0</formula>
    </cfRule>
  </conditionalFormatting>
  <conditionalFormatting sqref="C43:E43">
    <cfRule type="cellIs" dxfId="382" priority="19" operator="greaterThan">
      <formula>0</formula>
    </cfRule>
  </conditionalFormatting>
  <conditionalFormatting sqref="C31:E31">
    <cfRule type="cellIs" dxfId="381" priority="21" operator="greaterThan">
      <formula>0</formula>
    </cfRule>
  </conditionalFormatting>
  <conditionalFormatting sqref="C47:E50">
    <cfRule type="cellIs" dxfId="380" priority="12" operator="greaterThan">
      <formula>0</formula>
    </cfRule>
  </conditionalFormatting>
  <conditionalFormatting sqref="C48:E49">
    <cfRule type="cellIs" dxfId="379" priority="17" operator="greaterThan">
      <formula>0</formula>
    </cfRule>
  </conditionalFormatting>
  <conditionalFormatting sqref="C47:E47">
    <cfRule type="cellIs" dxfId="378" priority="18" operator="greaterThan">
      <formula>0</formula>
    </cfRule>
  </conditionalFormatting>
  <conditionalFormatting sqref="C50:E50">
    <cfRule type="cellIs" dxfId="377" priority="16" operator="greaterThan">
      <formula>0</formula>
    </cfRule>
  </conditionalFormatting>
  <conditionalFormatting sqref="C47:E50">
    <cfRule type="cellIs" dxfId="376" priority="13" operator="greaterThan">
      <formula>0</formula>
    </cfRule>
    <cfRule type="cellIs" dxfId="375" priority="14" operator="greaterThan">
      <formula>0</formula>
    </cfRule>
    <cfRule type="cellIs" dxfId="374" priority="15" operator="greaterThan">
      <formula>0</formula>
    </cfRule>
  </conditionalFormatting>
  <conditionalFormatting sqref="J3:K18">
    <cfRule type="cellIs" dxfId="373" priority="4" operator="greaterThan">
      <formula>0</formula>
    </cfRule>
    <cfRule type="cellIs" dxfId="372" priority="7" operator="greaterThan">
      <formula>0</formula>
    </cfRule>
    <cfRule type="cellIs" dxfId="371" priority="8" operator="greaterThan">
      <formula>0</formula>
    </cfRule>
  </conditionalFormatting>
  <conditionalFormatting sqref="I3:I18">
    <cfRule type="cellIs" dxfId="370" priority="9" operator="equal">
      <formula>"НЕТ"</formula>
    </cfRule>
    <cfRule type="cellIs" dxfId="369" priority="10" operator="equal">
      <formula>"ДА"</formula>
    </cfRule>
  </conditionalFormatting>
  <conditionalFormatting sqref="I3:I18">
    <cfRule type="colorScale" priority="1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8:E58 C20:E54">
    <cfRule type="cellIs" dxfId="368" priority="6" operator="greaterThan">
      <formula>0</formula>
    </cfRule>
  </conditionalFormatting>
  <conditionalFormatting sqref="C2:C14">
    <cfRule type="cellIs" dxfId="367" priority="5" operator="greaterThan">
      <formula>0</formula>
    </cfRule>
  </conditionalFormatting>
  <conditionalFormatting sqref="E59">
    <cfRule type="cellIs" dxfId="366" priority="3" operator="greaterThan">
      <formula>0</formula>
    </cfRule>
  </conditionalFormatting>
  <conditionalFormatting sqref="C15:C17">
    <cfRule type="cellIs" dxfId="365" priority="2" operator="greaterThan">
      <formula>0</formula>
    </cfRule>
  </conditionalFormatting>
  <conditionalFormatting sqref="C55:E57">
    <cfRule type="cellIs" dxfId="364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E20:E23" unlockedFormula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/>
  <dimension ref="A1:M64"/>
  <sheetViews>
    <sheetView workbookViewId="0">
      <pane ySplit="18" topLeftCell="A43" activePane="bottomLeft" state="frozen"/>
      <selection pane="bottomLeft" activeCell="F52" sqref="F52"/>
    </sheetView>
  </sheetViews>
  <sheetFormatPr defaultRowHeight="11.25"/>
  <cols>
    <col min="2" max="2" width="53.5" customWidth="1"/>
    <col min="4" max="4" width="12.83203125" customWidth="1"/>
    <col min="5" max="5" width="13.5" customWidth="1"/>
    <col min="6" max="6" width="18.6640625" customWidth="1"/>
    <col min="7" max="7" width="3.83203125" customWidth="1"/>
    <col min="8" max="8" width="47" customWidth="1"/>
    <col min="9" max="9" width="4.5" customWidth="1"/>
  </cols>
  <sheetData>
    <row r="1" spans="1:13" ht="66" customHeight="1" thickBot="1">
      <c r="A1" s="408"/>
      <c r="B1" s="1293"/>
      <c r="C1" s="1294"/>
      <c r="D1" s="1294"/>
      <c r="E1" s="1294"/>
      <c r="F1" s="408"/>
      <c r="G1" s="408"/>
      <c r="H1" s="408"/>
      <c r="I1" s="408"/>
      <c r="J1" s="408"/>
      <c r="K1" s="408"/>
      <c r="L1" s="408"/>
      <c r="M1" s="408"/>
    </row>
    <row r="2" spans="1:13" ht="12" customHeight="1" thickBot="1">
      <c r="A2" s="408"/>
      <c r="B2" s="410" t="s">
        <v>666</v>
      </c>
      <c r="C2" s="609">
        <v>0</v>
      </c>
      <c r="D2" s="1238" t="s">
        <v>595</v>
      </c>
      <c r="E2" s="1239"/>
      <c r="F2" s="1240"/>
      <c r="G2" s="442"/>
      <c r="H2" s="412" t="s">
        <v>485</v>
      </c>
      <c r="I2" s="413" t="s">
        <v>604</v>
      </c>
      <c r="J2" s="479" t="s">
        <v>4</v>
      </c>
      <c r="K2" s="480" t="s">
        <v>8</v>
      </c>
      <c r="L2" s="408"/>
      <c r="M2" s="408"/>
    </row>
    <row r="3" spans="1:13" ht="12" customHeight="1" thickBot="1">
      <c r="A3" s="408"/>
      <c r="B3" s="415" t="s">
        <v>667</v>
      </c>
      <c r="C3" s="593">
        <v>0</v>
      </c>
      <c r="D3" s="1241"/>
      <c r="E3" s="1242"/>
      <c r="F3" s="1243"/>
      <c r="G3" s="442"/>
      <c r="H3" s="416" t="s">
        <v>372</v>
      </c>
      <c r="I3" s="417" t="str">
        <f>IF(AND($C$7=1,$C$5+$C$6+$C$8=0,$C$9=2),"ДА","НЕТ")</f>
        <v>НЕТ</v>
      </c>
      <c r="J3" s="321"/>
      <c r="K3" s="322">
        <f>IF(I3="ДА",$C$10*J3,0)</f>
        <v>0</v>
      </c>
      <c r="L3" s="408"/>
      <c r="M3" s="408"/>
    </row>
    <row r="4" spans="1:13" ht="12" customHeight="1" thickBot="1">
      <c r="A4" s="408"/>
      <c r="B4" s="432" t="s">
        <v>127</v>
      </c>
      <c r="C4" s="597">
        <v>0</v>
      </c>
      <c r="D4" s="1290" t="s">
        <v>128</v>
      </c>
      <c r="E4" s="1291"/>
      <c r="F4" s="1292"/>
      <c r="G4" s="442"/>
      <c r="H4" s="419" t="s">
        <v>373</v>
      </c>
      <c r="I4" s="417" t="str">
        <f>IF(AND($C$7=1,$C$5+$C$6+$C$8=0,$C$9=2),"ДА","НЕТ")</f>
        <v>НЕТ</v>
      </c>
      <c r="J4" s="398"/>
      <c r="K4" s="322">
        <f t="shared" ref="K4:K17" si="0">IF(I4="ДА",$C$10*J4,0)</f>
        <v>0</v>
      </c>
      <c r="L4" s="408"/>
      <c r="M4" s="408"/>
    </row>
    <row r="5" spans="1:13" ht="12" customHeight="1">
      <c r="A5" s="408"/>
      <c r="B5" s="422" t="s">
        <v>492</v>
      </c>
      <c r="C5" s="606">
        <v>0</v>
      </c>
      <c r="D5" s="425" t="s">
        <v>287</v>
      </c>
      <c r="E5" s="693" t="s">
        <v>255</v>
      </c>
      <c r="F5" s="1247" t="s">
        <v>597</v>
      </c>
      <c r="G5" s="442"/>
      <c r="H5" s="419" t="s">
        <v>374</v>
      </c>
      <c r="I5" s="417" t="str">
        <f>IF(AND($C$7=1,$C$5+$C$6+$C$8=0,$C$9=2),"ДА","НЕТ")</f>
        <v>НЕТ</v>
      </c>
      <c r="J5" s="398"/>
      <c r="K5" s="322">
        <f t="shared" si="0"/>
        <v>0</v>
      </c>
      <c r="L5" s="408"/>
      <c r="M5" s="408"/>
    </row>
    <row r="6" spans="1:13" ht="12" customHeight="1">
      <c r="A6" s="408"/>
      <c r="B6" s="420" t="s">
        <v>493</v>
      </c>
      <c r="C6" s="605">
        <v>0</v>
      </c>
      <c r="D6" s="427" t="s">
        <v>287</v>
      </c>
      <c r="E6" s="647" t="s">
        <v>255</v>
      </c>
      <c r="F6" s="1247"/>
      <c r="G6" s="442"/>
      <c r="H6" s="421" t="s">
        <v>376</v>
      </c>
      <c r="I6" s="417" t="str">
        <f>IF(AND($C$7=1,$C$5+$C$6+$C$8=0,$C$9=3),"ДА","НЕТ")</f>
        <v>НЕТ</v>
      </c>
      <c r="J6" s="325"/>
      <c r="K6" s="322">
        <f t="shared" si="0"/>
        <v>0</v>
      </c>
      <c r="L6" s="408"/>
      <c r="M6" s="408"/>
    </row>
    <row r="7" spans="1:13" ht="12" customHeight="1">
      <c r="A7" s="408"/>
      <c r="B7" s="420" t="s">
        <v>490</v>
      </c>
      <c r="C7" s="605">
        <v>0</v>
      </c>
      <c r="D7" s="427" t="s">
        <v>287</v>
      </c>
      <c r="E7" s="647" t="s">
        <v>255</v>
      </c>
      <c r="F7" s="1247"/>
      <c r="G7" s="442"/>
      <c r="H7" s="419" t="s">
        <v>489</v>
      </c>
      <c r="I7" s="417" t="str">
        <f>IF(AND($C$8=1,$C$5+$C$6+$C$7=0,$C$9=1),"ДА","НЕТ")</f>
        <v>НЕТ</v>
      </c>
      <c r="J7" s="398"/>
      <c r="K7" s="322">
        <f t="shared" si="0"/>
        <v>0</v>
      </c>
      <c r="L7" s="408"/>
      <c r="M7" s="408"/>
    </row>
    <row r="8" spans="1:13" ht="12" customHeight="1" thickBot="1">
      <c r="A8" s="408"/>
      <c r="B8" s="443" t="s">
        <v>491</v>
      </c>
      <c r="C8" s="604">
        <v>0</v>
      </c>
      <c r="D8" s="430" t="s">
        <v>287</v>
      </c>
      <c r="E8" s="434" t="s">
        <v>255</v>
      </c>
      <c r="F8" s="1248"/>
      <c r="G8" s="442"/>
      <c r="H8" s="421" t="s">
        <v>486</v>
      </c>
      <c r="I8" s="417" t="str">
        <f>IF(AND($C$8=1,$C$5+$C$6+$C$7=0,$C$9=3),"ДА","НЕТ")</f>
        <v>НЕТ</v>
      </c>
      <c r="J8" s="325"/>
      <c r="K8" s="322">
        <f t="shared" si="0"/>
        <v>0</v>
      </c>
      <c r="L8" s="408"/>
      <c r="M8" s="408"/>
    </row>
    <row r="9" spans="1:13" ht="12" customHeight="1" thickBot="1">
      <c r="A9" s="408"/>
      <c r="B9" s="432" t="s">
        <v>589</v>
      </c>
      <c r="C9" s="596">
        <v>0</v>
      </c>
      <c r="D9" s="436" t="s">
        <v>619</v>
      </c>
      <c r="E9" s="437" t="s">
        <v>620</v>
      </c>
      <c r="F9" s="439" t="s">
        <v>621</v>
      </c>
      <c r="G9" s="442"/>
      <c r="H9" s="421" t="s">
        <v>487</v>
      </c>
      <c r="I9" s="417" t="str">
        <f>IF(AND($C$8=1,$C$5+$C$6+$C$7=0,$C$9=2),"ДА","НЕТ")</f>
        <v>НЕТ</v>
      </c>
      <c r="J9" s="325"/>
      <c r="K9" s="322">
        <f t="shared" si="0"/>
        <v>0</v>
      </c>
      <c r="L9" s="408"/>
      <c r="M9" s="408"/>
    </row>
    <row r="10" spans="1:13" ht="12" customHeight="1" thickBot="1">
      <c r="A10" s="408"/>
      <c r="B10" s="517" t="s">
        <v>123</v>
      </c>
      <c r="C10" s="571">
        <v>0</v>
      </c>
      <c r="D10" s="1290" t="s">
        <v>675</v>
      </c>
      <c r="E10" s="1291"/>
      <c r="F10" s="1292"/>
      <c r="G10" s="442"/>
      <c r="H10" s="421" t="s">
        <v>488</v>
      </c>
      <c r="I10" s="417" t="str">
        <f>IF(AND($C$8=1,$C$5+$C$6+$C$7=0,$C$9=2),"ДА","НЕТ")</f>
        <v>НЕТ</v>
      </c>
      <c r="J10" s="325"/>
      <c r="K10" s="322">
        <f t="shared" si="0"/>
        <v>0</v>
      </c>
      <c r="L10" s="408"/>
      <c r="M10" s="408"/>
    </row>
    <row r="11" spans="1:13" ht="12" customHeight="1" thickBot="1">
      <c r="A11" s="408"/>
      <c r="B11" s="432" t="s">
        <v>404</v>
      </c>
      <c r="C11" s="468">
        <v>0</v>
      </c>
      <c r="D11" s="436" t="s">
        <v>287</v>
      </c>
      <c r="E11" s="439" t="s">
        <v>255</v>
      </c>
      <c r="F11" s="632"/>
      <c r="G11" s="442"/>
      <c r="H11" s="421" t="s">
        <v>494</v>
      </c>
      <c r="I11" s="417" t="str">
        <f>IF(AND($C$8=1,$C$5+$C$6+$C$7=0,$C$9=2),"ДА","НЕТ")</f>
        <v>НЕТ</v>
      </c>
      <c r="J11" s="325"/>
      <c r="K11" s="322">
        <f t="shared" si="0"/>
        <v>0</v>
      </c>
      <c r="L11" s="408"/>
      <c r="M11" s="408"/>
    </row>
    <row r="12" spans="1:13" ht="12" customHeight="1">
      <c r="A12" s="408"/>
      <c r="B12" s="422" t="s">
        <v>397</v>
      </c>
      <c r="C12" s="465">
        <v>0</v>
      </c>
      <c r="D12" s="423" t="s">
        <v>287</v>
      </c>
      <c r="E12" s="628" t="s">
        <v>255</v>
      </c>
      <c r="F12" s="1259" t="s">
        <v>597</v>
      </c>
      <c r="G12" s="442"/>
      <c r="H12" s="416" t="s">
        <v>381</v>
      </c>
      <c r="I12" s="417" t="str">
        <f>IF(AND($C$5=1,$C$8+$C$7+$C$6=0,$C$9=1),"ДА","НЕТ")</f>
        <v>НЕТ</v>
      </c>
      <c r="J12" s="328"/>
      <c r="K12" s="322">
        <f t="shared" si="0"/>
        <v>0</v>
      </c>
      <c r="L12" s="408"/>
      <c r="M12" s="408"/>
    </row>
    <row r="13" spans="1:13" ht="12" customHeight="1" thickBot="1">
      <c r="A13" s="408"/>
      <c r="B13" s="415" t="s">
        <v>398</v>
      </c>
      <c r="C13" s="466">
        <v>0</v>
      </c>
      <c r="D13" s="430" t="s">
        <v>287</v>
      </c>
      <c r="E13" s="434" t="s">
        <v>255</v>
      </c>
      <c r="F13" s="1260"/>
      <c r="G13" s="442"/>
      <c r="H13" s="416" t="s">
        <v>382</v>
      </c>
      <c r="I13" s="417" t="str">
        <f>IF(AND($C$5=1,$C$8+$C$7+$C$6=0,$C$9=3),"ДА","НЕТ")</f>
        <v>НЕТ</v>
      </c>
      <c r="J13" s="328"/>
      <c r="K13" s="322">
        <f t="shared" si="0"/>
        <v>0</v>
      </c>
      <c r="L13" s="408"/>
      <c r="M13" s="408"/>
    </row>
    <row r="14" spans="1:13" ht="12" customHeight="1">
      <c r="A14" s="408"/>
      <c r="B14" s="410" t="s">
        <v>147</v>
      </c>
      <c r="C14" s="467">
        <v>0</v>
      </c>
      <c r="D14" s="1249" t="s">
        <v>686</v>
      </c>
      <c r="E14" s="1250"/>
      <c r="F14" s="1251"/>
      <c r="G14" s="442"/>
      <c r="H14" s="416" t="s">
        <v>383</v>
      </c>
      <c r="I14" s="417" t="str">
        <f>IF(AND($C$6=1,$C$7+$C$8+$C$5=0,$C$9=1),"ДА","НЕТ")</f>
        <v>НЕТ</v>
      </c>
      <c r="J14" s="328"/>
      <c r="K14" s="322">
        <f t="shared" si="0"/>
        <v>0</v>
      </c>
      <c r="L14" s="408"/>
      <c r="M14" s="408"/>
    </row>
    <row r="15" spans="1:13" ht="12" customHeight="1">
      <c r="A15" s="408"/>
      <c r="B15" s="420" t="s">
        <v>146</v>
      </c>
      <c r="C15" s="464">
        <v>0</v>
      </c>
      <c r="D15" s="1252" t="s">
        <v>687</v>
      </c>
      <c r="E15" s="1253"/>
      <c r="F15" s="1254"/>
      <c r="G15" s="442"/>
      <c r="H15" s="419" t="s">
        <v>384</v>
      </c>
      <c r="I15" s="417" t="str">
        <f>IF(AND($C$6=1,$C$7+$C$8+$C$5=0,$C$9=1),"ДА","НЕТ")</f>
        <v>НЕТ</v>
      </c>
      <c r="J15" s="328"/>
      <c r="K15" s="322">
        <f t="shared" si="0"/>
        <v>0</v>
      </c>
      <c r="L15" s="408"/>
      <c r="M15" s="408"/>
    </row>
    <row r="16" spans="1:13" ht="12" customHeight="1" thickBot="1">
      <c r="A16" s="408"/>
      <c r="B16" s="415" t="s">
        <v>143</v>
      </c>
      <c r="C16" s="466">
        <v>0</v>
      </c>
      <c r="D16" s="1255" t="s">
        <v>688</v>
      </c>
      <c r="E16" s="1256"/>
      <c r="F16" s="1257"/>
      <c r="G16" s="442"/>
      <c r="H16" s="416" t="s">
        <v>388</v>
      </c>
      <c r="I16" s="417" t="str">
        <f>IF(AND($C$6=1,$C$7+$C$8+$C$5=0,$C$9=2),"ДА","НЕТ")</f>
        <v>НЕТ</v>
      </c>
      <c r="J16" s="328"/>
      <c r="K16" s="322">
        <f t="shared" si="0"/>
        <v>0</v>
      </c>
      <c r="L16" s="408"/>
      <c r="M16" s="408"/>
    </row>
    <row r="17" spans="1:13" ht="12" customHeight="1" thickBot="1">
      <c r="A17" s="408"/>
      <c r="B17" s="607"/>
      <c r="C17" s="607"/>
      <c r="D17" s="607"/>
      <c r="E17" s="442"/>
      <c r="F17" s="442"/>
      <c r="G17" s="442"/>
      <c r="H17" s="440" t="s">
        <v>389</v>
      </c>
      <c r="I17" s="441" t="str">
        <f>IF(AND($C$6=1,$C$7+$C$8+$C$5=0,$C$9=2),"ДА","НЕТ")</f>
        <v>НЕТ</v>
      </c>
      <c r="J17" s="335"/>
      <c r="K17" s="478">
        <f t="shared" si="0"/>
        <v>0</v>
      </c>
      <c r="L17" s="408"/>
      <c r="M17" s="408"/>
    </row>
    <row r="18" spans="1:13" ht="12" customHeight="1">
      <c r="A18" s="408"/>
      <c r="B18" s="447" t="s">
        <v>5</v>
      </c>
      <c r="C18" s="448" t="s">
        <v>0</v>
      </c>
      <c r="D18" s="449" t="s">
        <v>4</v>
      </c>
      <c r="E18" s="450" t="s">
        <v>8</v>
      </c>
      <c r="F18" s="442"/>
      <c r="G18" s="442"/>
      <c r="H18" s="442"/>
      <c r="I18" s="442"/>
      <c r="J18" s="442"/>
      <c r="K18" s="442"/>
      <c r="L18" s="408"/>
      <c r="M18" s="408"/>
    </row>
    <row r="19" spans="1:13" ht="12" customHeight="1">
      <c r="A19" s="408"/>
      <c r="B19" s="454" t="s">
        <v>401</v>
      </c>
      <c r="C19" s="350">
        <f>C2*C10</f>
        <v>0</v>
      </c>
      <c r="D19" s="356"/>
      <c r="E19" s="347">
        <f>C19*D19</f>
        <v>0</v>
      </c>
      <c r="F19" s="442"/>
      <c r="G19" s="442"/>
      <c r="H19" s="442"/>
      <c r="I19" s="442"/>
      <c r="J19" s="442"/>
      <c r="K19" s="442"/>
      <c r="L19" s="408"/>
      <c r="M19" s="408"/>
    </row>
    <row r="20" spans="1:13" ht="12" customHeight="1">
      <c r="A20" s="408"/>
      <c r="B20" s="454" t="s">
        <v>402</v>
      </c>
      <c r="C20" s="350">
        <f>IF(C13=1,C2*C10,0)</f>
        <v>0</v>
      </c>
      <c r="D20" s="356"/>
      <c r="E20" s="347">
        <f>C20*D20</f>
        <v>0</v>
      </c>
      <c r="F20" s="442"/>
      <c r="G20" s="442"/>
      <c r="H20" s="442"/>
      <c r="I20" s="442"/>
      <c r="J20" s="442"/>
      <c r="K20" s="442"/>
      <c r="L20" s="408"/>
      <c r="M20" s="408"/>
    </row>
    <row r="21" spans="1:13" ht="12" customHeight="1">
      <c r="A21" s="408"/>
      <c r="B21" s="452" t="s">
        <v>399</v>
      </c>
      <c r="C21" s="345">
        <f>IF(AND(C12=1,C13=0),(C4*C10)*2,0)</f>
        <v>0</v>
      </c>
      <c r="D21" s="356"/>
      <c r="E21" s="347">
        <f>C21*D21</f>
        <v>0</v>
      </c>
      <c r="F21" s="442"/>
      <c r="G21" s="442"/>
      <c r="H21" s="442"/>
      <c r="I21" s="442"/>
      <c r="J21" s="442"/>
      <c r="K21" s="442"/>
      <c r="L21" s="408"/>
      <c r="M21" s="408"/>
    </row>
    <row r="22" spans="1:13" ht="12" customHeight="1">
      <c r="A22" s="408"/>
      <c r="B22" s="452" t="s">
        <v>400</v>
      </c>
      <c r="C22" s="345">
        <f>IF(AND(C12=0,C13=1),C4*C10,0)</f>
        <v>0</v>
      </c>
      <c r="D22" s="356"/>
      <c r="E22" s="347">
        <f>C22*D22</f>
        <v>0</v>
      </c>
      <c r="F22" s="442"/>
      <c r="G22" s="442"/>
      <c r="H22" s="442"/>
      <c r="I22" s="442"/>
      <c r="J22" s="442"/>
      <c r="K22" s="442"/>
      <c r="L22" s="408"/>
      <c r="M22" s="408"/>
    </row>
    <row r="23" spans="1:13" ht="12" customHeight="1">
      <c r="A23" s="408"/>
      <c r="B23" s="454" t="s">
        <v>447</v>
      </c>
      <c r="C23" s="350">
        <f>C10*2</f>
        <v>0</v>
      </c>
      <c r="D23" s="356"/>
      <c r="E23" s="347">
        <f t="shared" ref="E23:E55" si="1">C23*D23</f>
        <v>0</v>
      </c>
      <c r="F23" s="442"/>
      <c r="G23" s="442"/>
      <c r="H23" s="442"/>
      <c r="I23" s="442"/>
      <c r="J23" s="442"/>
      <c r="K23" s="442"/>
      <c r="L23" s="408"/>
      <c r="M23" s="408"/>
    </row>
    <row r="24" spans="1:13" ht="12" customHeight="1">
      <c r="A24" s="408"/>
      <c r="B24" s="454" t="s">
        <v>503</v>
      </c>
      <c r="C24" s="350">
        <f>(C4-1)*C10</f>
        <v>0</v>
      </c>
      <c r="D24" s="356"/>
      <c r="E24" s="347">
        <f t="shared" si="1"/>
        <v>0</v>
      </c>
      <c r="F24" s="442"/>
      <c r="G24" s="442"/>
      <c r="H24" s="442"/>
      <c r="I24" s="442"/>
      <c r="J24" s="442"/>
      <c r="K24" s="442"/>
      <c r="L24" s="408"/>
      <c r="M24" s="408"/>
    </row>
    <row r="25" spans="1:13" ht="12" customHeight="1">
      <c r="A25" s="408"/>
      <c r="B25" s="452" t="s">
        <v>474</v>
      </c>
      <c r="C25" s="345">
        <f>C2*C10*(C5+C7)</f>
        <v>0</v>
      </c>
      <c r="D25" s="346"/>
      <c r="E25" s="347">
        <f t="shared" si="1"/>
        <v>0</v>
      </c>
      <c r="F25" s="442"/>
      <c r="G25" s="442"/>
      <c r="H25" s="442"/>
      <c r="I25" s="442"/>
      <c r="J25" s="442"/>
      <c r="K25" s="442"/>
      <c r="L25" s="408"/>
      <c r="M25" s="408"/>
    </row>
    <row r="26" spans="1:13" ht="12" customHeight="1">
      <c r="A26" s="408"/>
      <c r="B26" s="454" t="s">
        <v>480</v>
      </c>
      <c r="C26" s="350">
        <f>C10*C2*(C6+C8)</f>
        <v>0</v>
      </c>
      <c r="D26" s="356"/>
      <c r="E26" s="347">
        <f t="shared" si="1"/>
        <v>0</v>
      </c>
      <c r="F26" s="442"/>
      <c r="G26" s="442"/>
      <c r="H26" s="442"/>
      <c r="I26" s="442"/>
      <c r="J26" s="442"/>
      <c r="K26" s="442"/>
      <c r="L26" s="408"/>
      <c r="M26" s="408"/>
    </row>
    <row r="27" spans="1:13" ht="12" customHeight="1">
      <c r="A27" s="408"/>
      <c r="B27" s="454" t="s">
        <v>118</v>
      </c>
      <c r="C27" s="350">
        <f>C2*C10</f>
        <v>0</v>
      </c>
      <c r="D27" s="351"/>
      <c r="E27" s="347">
        <f t="shared" si="1"/>
        <v>0</v>
      </c>
      <c r="F27" s="442"/>
      <c r="G27" s="442"/>
      <c r="H27" s="442"/>
      <c r="I27" s="442"/>
      <c r="J27" s="442"/>
      <c r="K27" s="442"/>
      <c r="L27" s="408"/>
      <c r="M27" s="408"/>
    </row>
    <row r="28" spans="1:13" ht="12" customHeight="1">
      <c r="A28" s="408"/>
      <c r="B28" s="452" t="s">
        <v>451</v>
      </c>
      <c r="C28" s="345">
        <f>C2*C10*(C5+C7)</f>
        <v>0</v>
      </c>
      <c r="D28" s="346"/>
      <c r="E28" s="347">
        <f t="shared" si="1"/>
        <v>0</v>
      </c>
      <c r="F28" s="442"/>
      <c r="G28" s="442"/>
      <c r="H28" s="442"/>
      <c r="I28" s="442"/>
      <c r="J28" s="442"/>
      <c r="K28" s="442"/>
      <c r="L28" s="408"/>
      <c r="M28" s="408"/>
    </row>
    <row r="29" spans="1:13" ht="12" customHeight="1">
      <c r="A29" s="408"/>
      <c r="B29" s="452" t="s">
        <v>450</v>
      </c>
      <c r="C29" s="345">
        <f>C10*C2*(C6+C8)</f>
        <v>0</v>
      </c>
      <c r="D29" s="399"/>
      <c r="E29" s="347">
        <f t="shared" si="1"/>
        <v>0</v>
      </c>
      <c r="F29" s="442"/>
      <c r="G29" s="442"/>
      <c r="H29" s="442"/>
      <c r="I29" s="442"/>
      <c r="J29" s="442"/>
      <c r="K29" s="442"/>
      <c r="L29" s="408"/>
      <c r="M29" s="408"/>
    </row>
    <row r="30" spans="1:13" ht="12" customHeight="1">
      <c r="A30" s="408"/>
      <c r="B30" s="454" t="s">
        <v>367</v>
      </c>
      <c r="C30" s="350">
        <f>C10*(C5+C7)</f>
        <v>0</v>
      </c>
      <c r="D30" s="351"/>
      <c r="E30" s="347">
        <f t="shared" si="1"/>
        <v>0</v>
      </c>
      <c r="F30" s="442"/>
      <c r="G30" s="442"/>
      <c r="H30" s="442"/>
      <c r="I30" s="442"/>
      <c r="J30" s="442"/>
      <c r="K30" s="442"/>
      <c r="L30" s="408"/>
      <c r="M30" s="408"/>
    </row>
    <row r="31" spans="1:13" ht="12" customHeight="1">
      <c r="A31" s="408"/>
      <c r="B31" s="454" t="s">
        <v>725</v>
      </c>
      <c r="C31" s="350">
        <f>C10*(C4*2-2)*(C6+C8)</f>
        <v>0</v>
      </c>
      <c r="D31" s="356"/>
      <c r="E31" s="347">
        <f t="shared" si="1"/>
        <v>0</v>
      </c>
      <c r="F31" s="442"/>
      <c r="G31" s="442"/>
      <c r="H31" s="442"/>
      <c r="I31" s="442"/>
      <c r="J31" s="442"/>
      <c r="K31" s="442"/>
      <c r="L31" s="408"/>
      <c r="M31" s="408"/>
    </row>
    <row r="32" spans="1:13" ht="12" customHeight="1">
      <c r="A32" s="408"/>
      <c r="B32" s="454" t="s">
        <v>470</v>
      </c>
      <c r="C32" s="350">
        <f>C10*(C6+C8)</f>
        <v>0</v>
      </c>
      <c r="D32" s="356"/>
      <c r="E32" s="572">
        <f>C32*D32</f>
        <v>0</v>
      </c>
      <c r="F32" s="442"/>
      <c r="G32" s="442"/>
      <c r="H32" s="442"/>
      <c r="I32" s="442"/>
      <c r="J32" s="442"/>
      <c r="K32" s="442"/>
      <c r="L32" s="408"/>
      <c r="M32" s="408"/>
    </row>
    <row r="33" spans="1:13" ht="12" customHeight="1">
      <c r="A33" s="408"/>
      <c r="B33" s="454" t="s">
        <v>504</v>
      </c>
      <c r="C33" s="350">
        <f>(C4-1)*C10</f>
        <v>0</v>
      </c>
      <c r="D33" s="351"/>
      <c r="E33" s="347">
        <f t="shared" si="1"/>
        <v>0</v>
      </c>
      <c r="F33" s="442"/>
      <c r="G33" s="442"/>
      <c r="H33" s="442"/>
      <c r="I33" s="442"/>
      <c r="J33" s="442"/>
      <c r="K33" s="442"/>
      <c r="L33" s="408"/>
      <c r="M33" s="408"/>
    </row>
    <row r="34" spans="1:13" ht="12" customHeight="1">
      <c r="A34" s="408"/>
      <c r="B34" s="454" t="s">
        <v>505</v>
      </c>
      <c r="C34" s="350">
        <f>(C4-1)*C10</f>
        <v>0</v>
      </c>
      <c r="D34" s="351"/>
      <c r="E34" s="347">
        <f t="shared" si="1"/>
        <v>0</v>
      </c>
      <c r="F34" s="442"/>
      <c r="G34" s="442"/>
      <c r="H34" s="442"/>
      <c r="I34" s="442"/>
      <c r="J34" s="442"/>
      <c r="K34" s="442"/>
      <c r="L34" s="408"/>
      <c r="M34" s="408"/>
    </row>
    <row r="35" spans="1:13" ht="12" customHeight="1">
      <c r="A35" s="408"/>
      <c r="B35" s="454" t="s">
        <v>828</v>
      </c>
      <c r="C35" s="350">
        <f>C10</f>
        <v>0</v>
      </c>
      <c r="D35" s="351"/>
      <c r="E35" s="347">
        <f t="shared" si="1"/>
        <v>0</v>
      </c>
      <c r="F35" s="442"/>
      <c r="G35" s="442"/>
      <c r="H35" s="442"/>
      <c r="I35" s="442"/>
      <c r="J35" s="442"/>
      <c r="K35" s="442"/>
      <c r="L35" s="408"/>
      <c r="M35" s="408"/>
    </row>
    <row r="36" spans="1:13" ht="12" customHeight="1">
      <c r="A36" s="408"/>
      <c r="B36" s="454" t="s">
        <v>634</v>
      </c>
      <c r="C36" s="350">
        <f>EVEN(ROUNDDOWN(IF(C11=1,(C2/0.5)*C10,0),0))</f>
        <v>0</v>
      </c>
      <c r="D36" s="351"/>
      <c r="E36" s="347">
        <f t="shared" si="1"/>
        <v>0</v>
      </c>
      <c r="F36" s="442"/>
      <c r="G36" s="442"/>
      <c r="H36" s="442"/>
      <c r="I36" s="442"/>
      <c r="J36" s="442"/>
      <c r="K36" s="442"/>
      <c r="L36" s="408"/>
      <c r="M36" s="408"/>
    </row>
    <row r="37" spans="1:13" ht="12" customHeight="1">
      <c r="A37" s="408"/>
      <c r="B37" s="454" t="s">
        <v>479</v>
      </c>
      <c r="C37" s="350">
        <f>EVEN(ROUNDDOWN(IF(C11=0,(C33/0.5)*C10,0),0))</f>
        <v>0</v>
      </c>
      <c r="D37" s="351"/>
      <c r="E37" s="347">
        <f t="shared" si="1"/>
        <v>0</v>
      </c>
      <c r="F37" s="442"/>
      <c r="G37" s="442"/>
      <c r="H37" s="442"/>
      <c r="I37" s="442"/>
      <c r="J37" s="442"/>
      <c r="K37" s="442"/>
      <c r="L37" s="408"/>
      <c r="M37" s="408"/>
    </row>
    <row r="38" spans="1:13" ht="12" customHeight="1">
      <c r="A38" s="408"/>
      <c r="B38" s="454" t="s">
        <v>630</v>
      </c>
      <c r="C38" s="350">
        <f>C2*C10</f>
        <v>0</v>
      </c>
      <c r="D38" s="351"/>
      <c r="E38" s="347">
        <f t="shared" si="1"/>
        <v>0</v>
      </c>
      <c r="F38" s="456"/>
      <c r="G38" s="442"/>
      <c r="H38" s="442"/>
      <c r="I38" s="442"/>
      <c r="J38" s="442"/>
      <c r="K38" s="442"/>
      <c r="L38" s="408"/>
      <c r="M38" s="408"/>
    </row>
    <row r="39" spans="1:13" ht="12" customHeight="1">
      <c r="A39" s="408"/>
      <c r="B39" s="454" t="s">
        <v>631</v>
      </c>
      <c r="C39" s="350">
        <f>C2*C10</f>
        <v>0</v>
      </c>
      <c r="D39" s="351"/>
      <c r="E39" s="347">
        <f t="shared" si="1"/>
        <v>0</v>
      </c>
      <c r="F39" s="645"/>
      <c r="G39" s="442"/>
      <c r="H39" s="442"/>
      <c r="I39" s="442"/>
      <c r="J39" s="442"/>
      <c r="K39" s="442"/>
      <c r="L39" s="408"/>
      <c r="M39" s="408"/>
    </row>
    <row r="40" spans="1:13" ht="12" customHeight="1">
      <c r="A40" s="408"/>
      <c r="B40" s="454" t="s">
        <v>632</v>
      </c>
      <c r="C40" s="350">
        <f>C10</f>
        <v>0</v>
      </c>
      <c r="D40" s="351"/>
      <c r="E40" s="347">
        <f t="shared" si="1"/>
        <v>0</v>
      </c>
      <c r="F40" s="650"/>
      <c r="G40" s="442"/>
      <c r="H40" s="442"/>
      <c r="I40" s="442"/>
      <c r="J40" s="442"/>
      <c r="K40" s="442"/>
      <c r="L40" s="408"/>
      <c r="M40" s="408"/>
    </row>
    <row r="41" spans="1:13" ht="12" customHeight="1">
      <c r="A41" s="408"/>
      <c r="B41" s="454" t="s">
        <v>633</v>
      </c>
      <c r="C41" s="350">
        <f>C10</f>
        <v>0</v>
      </c>
      <c r="D41" s="351"/>
      <c r="E41" s="347">
        <f t="shared" si="1"/>
        <v>0</v>
      </c>
      <c r="F41" s="650"/>
      <c r="G41" s="442"/>
      <c r="H41" s="442"/>
      <c r="I41" s="442"/>
      <c r="J41" s="442"/>
      <c r="K41" s="442"/>
      <c r="L41" s="408"/>
      <c r="M41" s="408"/>
    </row>
    <row r="42" spans="1:13" ht="12" customHeight="1">
      <c r="A42" s="408"/>
      <c r="B42" s="455" t="s">
        <v>506</v>
      </c>
      <c r="C42" s="357">
        <f>(C4-1)*C10</f>
        <v>0</v>
      </c>
      <c r="D42" s="351"/>
      <c r="E42" s="347">
        <f t="shared" si="1"/>
        <v>0</v>
      </c>
      <c r="F42" s="650"/>
      <c r="G42" s="442"/>
      <c r="H42" s="442"/>
      <c r="I42" s="442"/>
      <c r="J42" s="442"/>
      <c r="K42" s="442"/>
      <c r="L42" s="408"/>
      <c r="M42" s="408"/>
    </row>
    <row r="43" spans="1:13" ht="12" customHeight="1">
      <c r="A43" s="408"/>
      <c r="B43" s="455" t="s">
        <v>507</v>
      </c>
      <c r="C43" s="357">
        <f>(C4-1)*C10</f>
        <v>0</v>
      </c>
      <c r="D43" s="351">
        <v>1</v>
      </c>
      <c r="E43" s="347">
        <f t="shared" si="1"/>
        <v>0</v>
      </c>
      <c r="F43" s="651"/>
      <c r="G43" s="442"/>
      <c r="H43" s="442"/>
      <c r="I43" s="442"/>
      <c r="J43" s="442"/>
      <c r="K43" s="442"/>
      <c r="L43" s="408"/>
      <c r="M43" s="408"/>
    </row>
    <row r="44" spans="1:13" ht="12" customHeight="1">
      <c r="A44" s="408"/>
      <c r="B44" s="455" t="s">
        <v>378</v>
      </c>
      <c r="C44" s="402">
        <f>C8*C10</f>
        <v>0</v>
      </c>
      <c r="D44" s="356"/>
      <c r="E44" s="403">
        <f t="shared" si="1"/>
        <v>0</v>
      </c>
      <c r="F44" s="651"/>
      <c r="G44" s="442"/>
      <c r="H44" s="442"/>
      <c r="I44" s="442"/>
      <c r="J44" s="442"/>
      <c r="K44" s="442"/>
      <c r="L44" s="408"/>
      <c r="M44" s="408"/>
    </row>
    <row r="45" spans="1:13" ht="12" customHeight="1">
      <c r="A45" s="408"/>
      <c r="B45" s="455" t="s">
        <v>386</v>
      </c>
      <c r="C45" s="402">
        <f>C6*C10</f>
        <v>0</v>
      </c>
      <c r="D45" s="356"/>
      <c r="E45" s="403">
        <f t="shared" si="1"/>
        <v>0</v>
      </c>
      <c r="F45" s="651"/>
      <c r="G45" s="442"/>
      <c r="H45" s="442"/>
      <c r="I45" s="442"/>
      <c r="J45" s="442"/>
      <c r="K45" s="442"/>
      <c r="L45" s="408"/>
      <c r="M45" s="408"/>
    </row>
    <row r="46" spans="1:13" ht="12" customHeight="1">
      <c r="A46" s="408"/>
      <c r="B46" s="455" t="s">
        <v>387</v>
      </c>
      <c r="C46" s="402">
        <f>C6*C10</f>
        <v>0</v>
      </c>
      <c r="D46" s="356"/>
      <c r="E46" s="403">
        <f t="shared" si="1"/>
        <v>0</v>
      </c>
      <c r="F46" s="651"/>
      <c r="G46" s="442"/>
      <c r="H46" s="442"/>
      <c r="I46" s="442"/>
      <c r="J46" s="442"/>
      <c r="K46" s="442"/>
      <c r="L46" s="408"/>
      <c r="M46" s="408"/>
    </row>
    <row r="47" spans="1:13" ht="12" customHeight="1">
      <c r="A47" s="408"/>
      <c r="B47" s="455" t="s">
        <v>377</v>
      </c>
      <c r="C47" s="402">
        <f>C7*C10</f>
        <v>0</v>
      </c>
      <c r="D47" s="356"/>
      <c r="E47" s="403">
        <f t="shared" si="1"/>
        <v>0</v>
      </c>
      <c r="F47" s="651"/>
      <c r="G47" s="442"/>
      <c r="H47" s="442"/>
      <c r="I47" s="442"/>
      <c r="J47" s="442"/>
      <c r="K47" s="442"/>
      <c r="L47" s="408"/>
      <c r="M47" s="408"/>
    </row>
    <row r="48" spans="1:13" ht="12" customHeight="1">
      <c r="A48" s="408"/>
      <c r="B48" s="455" t="s">
        <v>454</v>
      </c>
      <c r="C48" s="357">
        <f>(C5+C6)*C10</f>
        <v>0</v>
      </c>
      <c r="D48" s="351"/>
      <c r="E48" s="347">
        <f t="shared" si="1"/>
        <v>0</v>
      </c>
      <c r="F48" s="651"/>
      <c r="G48" s="442"/>
      <c r="H48" s="442"/>
      <c r="I48" s="442"/>
      <c r="J48" s="442"/>
      <c r="K48" s="442"/>
      <c r="L48" s="408"/>
      <c r="M48" s="408"/>
    </row>
    <row r="49" spans="1:13" ht="12" customHeight="1">
      <c r="A49" s="408"/>
      <c r="B49" s="455" t="s">
        <v>375</v>
      </c>
      <c r="C49" s="357">
        <f>C6*C10</f>
        <v>0</v>
      </c>
      <c r="D49" s="351"/>
      <c r="E49" s="347">
        <f t="shared" si="1"/>
        <v>0</v>
      </c>
      <c r="F49" s="651"/>
      <c r="G49" s="442"/>
      <c r="H49" s="442"/>
      <c r="I49" s="442"/>
      <c r="J49" s="442"/>
      <c r="K49" s="442"/>
      <c r="L49" s="408"/>
      <c r="M49" s="408"/>
    </row>
    <row r="50" spans="1:13" ht="12" customHeight="1">
      <c r="A50" s="408"/>
      <c r="B50" s="455" t="s">
        <v>495</v>
      </c>
      <c r="C50" s="357">
        <f>C6*C10</f>
        <v>0</v>
      </c>
      <c r="D50" s="351"/>
      <c r="E50" s="347">
        <f t="shared" si="1"/>
        <v>0</v>
      </c>
      <c r="F50" s="645"/>
      <c r="G50" s="442"/>
      <c r="H50" s="442"/>
      <c r="I50" s="442"/>
      <c r="J50" s="442"/>
      <c r="K50" s="442"/>
      <c r="L50" s="408"/>
      <c r="M50" s="408"/>
    </row>
    <row r="51" spans="1:13" ht="12" customHeight="1">
      <c r="A51" s="408"/>
      <c r="B51" s="455" t="s">
        <v>380</v>
      </c>
      <c r="C51" s="357">
        <f>C5*C10</f>
        <v>0</v>
      </c>
      <c r="D51" s="351"/>
      <c r="E51" s="347">
        <f t="shared" si="1"/>
        <v>0</v>
      </c>
      <c r="F51" s="650"/>
      <c r="G51" s="442"/>
      <c r="H51" s="442"/>
      <c r="I51" s="442"/>
      <c r="J51" s="442"/>
      <c r="K51" s="442"/>
      <c r="L51" s="408"/>
      <c r="M51" s="408"/>
    </row>
    <row r="52" spans="1:13" ht="12" customHeight="1">
      <c r="A52" s="408"/>
      <c r="B52" s="528" t="s">
        <v>145</v>
      </c>
      <c r="C52" s="509">
        <f>C15</f>
        <v>0</v>
      </c>
      <c r="D52" s="525"/>
      <c r="E52" s="403">
        <f t="shared" si="1"/>
        <v>0</v>
      </c>
      <c r="F52" s="650"/>
      <c r="G52" s="442"/>
      <c r="H52" s="442"/>
      <c r="I52" s="442"/>
      <c r="J52" s="442"/>
      <c r="K52" s="442"/>
      <c r="L52" s="408"/>
      <c r="M52" s="408"/>
    </row>
    <row r="53" spans="1:13" ht="12" customHeight="1">
      <c r="A53" s="408"/>
      <c r="B53" s="528" t="s">
        <v>148</v>
      </c>
      <c r="C53" s="509">
        <f>C14</f>
        <v>0</v>
      </c>
      <c r="D53" s="525"/>
      <c r="E53" s="403">
        <f t="shared" si="1"/>
        <v>0</v>
      </c>
      <c r="F53" s="650"/>
      <c r="G53" s="442"/>
      <c r="H53" s="442"/>
      <c r="I53" s="442"/>
      <c r="J53" s="442"/>
      <c r="K53" s="442"/>
      <c r="L53" s="408"/>
      <c r="M53" s="408"/>
    </row>
    <row r="54" spans="1:13" ht="12" customHeight="1">
      <c r="A54" s="408"/>
      <c r="B54" s="528" t="s">
        <v>689</v>
      </c>
      <c r="C54" s="509">
        <f>C16</f>
        <v>0</v>
      </c>
      <c r="D54" s="525"/>
      <c r="E54" s="403">
        <f t="shared" si="1"/>
        <v>0</v>
      </c>
      <c r="F54" s="650"/>
      <c r="G54" s="442"/>
      <c r="H54" s="442"/>
      <c r="I54" s="442"/>
      <c r="J54" s="442"/>
      <c r="K54" s="442"/>
      <c r="L54" s="408"/>
      <c r="M54" s="408"/>
    </row>
    <row r="55" spans="1:13" ht="12" customHeight="1" thickBot="1">
      <c r="A55" s="408"/>
      <c r="B55" s="457" t="s">
        <v>829</v>
      </c>
      <c r="C55" s="405">
        <f>C5*C10</f>
        <v>0</v>
      </c>
      <c r="D55" s="406"/>
      <c r="E55" s="407">
        <f t="shared" si="1"/>
        <v>0</v>
      </c>
      <c r="F55" s="650"/>
      <c r="G55" s="442"/>
      <c r="H55" s="442"/>
      <c r="I55" s="442"/>
      <c r="J55" s="442"/>
      <c r="K55" s="442"/>
      <c r="L55" s="408"/>
      <c r="M55" s="408"/>
    </row>
    <row r="56" spans="1:13" ht="12" customHeight="1" thickBot="1">
      <c r="A56" s="408"/>
      <c r="B56" s="442"/>
      <c r="C56" s="442"/>
      <c r="D56" s="458" t="s">
        <v>9</v>
      </c>
      <c r="E56" s="530">
        <f>SUMIF(E19:E55,"&gt;0",E19:E55)</f>
        <v>0</v>
      </c>
      <c r="F56" s="650"/>
      <c r="G56" s="442"/>
      <c r="H56" s="442"/>
      <c r="I56" s="442"/>
      <c r="J56" s="442"/>
      <c r="K56" s="442"/>
      <c r="L56" s="408"/>
      <c r="M56" s="408"/>
    </row>
    <row r="57" spans="1:13">
      <c r="A57" s="408"/>
      <c r="B57" s="442"/>
      <c r="C57" s="442"/>
      <c r="D57" s="442"/>
      <c r="E57" s="442"/>
      <c r="F57" s="651"/>
      <c r="G57" s="442"/>
      <c r="H57" s="442"/>
      <c r="I57" s="442"/>
      <c r="J57" s="442"/>
      <c r="K57" s="442"/>
      <c r="L57" s="408"/>
      <c r="M57" s="408"/>
    </row>
    <row r="58" spans="1:13">
      <c r="A58" s="408"/>
      <c r="B58" s="442"/>
      <c r="C58" s="442"/>
      <c r="D58" s="442"/>
      <c r="E58" s="442"/>
      <c r="F58" s="442"/>
      <c r="G58" s="442"/>
      <c r="H58" s="442"/>
      <c r="I58" s="442"/>
      <c r="J58" s="442"/>
      <c r="K58" s="442"/>
      <c r="L58" s="408"/>
      <c r="M58" s="408"/>
    </row>
    <row r="59" spans="1:13" ht="11.25" customHeight="1">
      <c r="A59" s="408"/>
      <c r="B59" s="408"/>
      <c r="C59" s="408"/>
      <c r="D59" s="408"/>
      <c r="E59" s="408"/>
      <c r="F59" s="408"/>
      <c r="G59" s="408"/>
      <c r="H59" s="408"/>
      <c r="I59" s="408"/>
      <c r="J59" s="408"/>
      <c r="K59" s="408"/>
      <c r="L59" s="408"/>
      <c r="M59" s="408"/>
    </row>
    <row r="60" spans="1:13" ht="11.25" customHeight="1">
      <c r="A60" s="408"/>
      <c r="B60" s="408"/>
      <c r="C60" s="408"/>
      <c r="D60" s="408"/>
      <c r="E60" s="408"/>
      <c r="F60" s="408"/>
      <c r="G60" s="408"/>
      <c r="H60" s="408"/>
      <c r="I60" s="408"/>
      <c r="J60" s="408"/>
      <c r="K60" s="408"/>
      <c r="L60" s="408"/>
      <c r="M60" s="408"/>
    </row>
    <row r="61" spans="1:13">
      <c r="A61" s="408"/>
      <c r="B61" s="408"/>
      <c r="C61" s="408"/>
      <c r="D61" s="408"/>
      <c r="E61" s="408"/>
      <c r="F61" s="408"/>
      <c r="G61" s="408"/>
      <c r="H61" s="408"/>
      <c r="I61" s="408"/>
      <c r="J61" s="408"/>
      <c r="K61" s="408"/>
      <c r="L61" s="408"/>
      <c r="M61" s="408"/>
    </row>
    <row r="62" spans="1:13">
      <c r="A62" s="408"/>
      <c r="B62" s="408"/>
      <c r="C62" s="408"/>
      <c r="D62" s="408"/>
      <c r="E62" s="408"/>
      <c r="F62" s="408"/>
      <c r="G62" s="408"/>
      <c r="H62" s="408"/>
      <c r="I62" s="408"/>
      <c r="J62" s="408"/>
      <c r="K62" s="408"/>
      <c r="L62" s="408"/>
      <c r="M62" s="408"/>
    </row>
    <row r="63" spans="1:13" ht="11.25" customHeight="1">
      <c r="A63" s="408"/>
      <c r="B63" s="408"/>
      <c r="C63" s="408"/>
      <c r="D63" s="408"/>
      <c r="E63" s="408"/>
      <c r="F63" s="408"/>
      <c r="G63" s="408"/>
      <c r="H63" s="408"/>
      <c r="I63" s="408"/>
      <c r="J63" s="408"/>
      <c r="K63" s="408"/>
      <c r="L63" s="408"/>
      <c r="M63" s="408"/>
    </row>
    <row r="64" spans="1:13" ht="11.25" customHeight="1"/>
  </sheetData>
  <sheetProtection algorithmName="SHA-512" hashValue="A07aLGXyP0ldyj6U9942BOpQsur31FTSPtjPuMEtPXVYWOKDREWcgghI+X+9S4yjm0j05c+f84Wt8t9jvaNRhw==" saltValue="wSQpA7qGL89m6TuTdRi+uw==" spinCount="100000" sheet="1"/>
  <mergeCells count="9">
    <mergeCell ref="D15:F15"/>
    <mergeCell ref="D16:F16"/>
    <mergeCell ref="B1:E1"/>
    <mergeCell ref="D2:F3"/>
    <mergeCell ref="D4:F4"/>
    <mergeCell ref="F5:F8"/>
    <mergeCell ref="F12:F13"/>
    <mergeCell ref="D10:F10"/>
    <mergeCell ref="D14:F14"/>
  </mergeCells>
  <conditionalFormatting sqref="C2:C3">
    <cfRule type="cellIs" dxfId="363" priority="34" operator="greaterThan">
      <formula>0</formula>
    </cfRule>
  </conditionalFormatting>
  <conditionalFormatting sqref="C9">
    <cfRule type="cellIs" dxfId="362" priority="30" operator="greaterThan">
      <formula>0</formula>
    </cfRule>
  </conditionalFormatting>
  <conditionalFormatting sqref="C9">
    <cfRule type="cellIs" dxfId="361" priority="33" operator="greaterThan">
      <formula>0</formula>
    </cfRule>
  </conditionalFormatting>
  <conditionalFormatting sqref="C9">
    <cfRule type="cellIs" dxfId="360" priority="32" operator="greaterThan">
      <formula>0</formula>
    </cfRule>
  </conditionalFormatting>
  <conditionalFormatting sqref="C9">
    <cfRule type="cellIs" dxfId="359" priority="31" operator="greaterThan">
      <formula>0</formula>
    </cfRule>
  </conditionalFormatting>
  <conditionalFormatting sqref="C2:C9">
    <cfRule type="cellIs" dxfId="358" priority="29" operator="greaterThan">
      <formula>0</formula>
    </cfRule>
  </conditionalFormatting>
  <conditionalFormatting sqref="C26:E26">
    <cfRule type="cellIs" dxfId="357" priority="26" operator="greaterThan">
      <formula>0</formula>
    </cfRule>
  </conditionalFormatting>
  <conditionalFormatting sqref="C29:E29">
    <cfRule type="cellIs" dxfId="356" priority="25" operator="greaterThan">
      <formula>0</formula>
    </cfRule>
  </conditionalFormatting>
  <conditionalFormatting sqref="C32:E32">
    <cfRule type="cellIs" dxfId="355" priority="21" operator="greaterThan">
      <formula>0</formula>
    </cfRule>
  </conditionalFormatting>
  <conditionalFormatting sqref="C26:E26">
    <cfRule type="cellIs" dxfId="354" priority="27" operator="greaterThan">
      <formula>0</formula>
    </cfRule>
  </conditionalFormatting>
  <conditionalFormatting sqref="C26:E26">
    <cfRule type="cellIs" dxfId="353" priority="28" operator="greaterThan">
      <formula>0</formula>
    </cfRule>
  </conditionalFormatting>
  <conditionalFormatting sqref="C32:E32">
    <cfRule type="cellIs" dxfId="352" priority="22" operator="greaterThan">
      <formula>0</formula>
    </cfRule>
    <cfRule type="cellIs" dxfId="351" priority="23" operator="greaterThan">
      <formula>0</formula>
    </cfRule>
    <cfRule type="cellIs" dxfId="350" priority="24" operator="greaterThan">
      <formula>0</formula>
    </cfRule>
  </conditionalFormatting>
  <conditionalFormatting sqref="C44:E47">
    <cfRule type="cellIs" dxfId="349" priority="14" operator="greaterThan">
      <formula>0</formula>
    </cfRule>
  </conditionalFormatting>
  <conditionalFormatting sqref="C45:E46">
    <cfRule type="cellIs" dxfId="348" priority="19" operator="greaterThan">
      <formula>0</formula>
    </cfRule>
  </conditionalFormatting>
  <conditionalFormatting sqref="C44:E44">
    <cfRule type="cellIs" dxfId="347" priority="20" operator="greaterThan">
      <formula>0</formula>
    </cfRule>
  </conditionalFormatting>
  <conditionalFormatting sqref="C47:E47">
    <cfRule type="cellIs" dxfId="346" priority="18" operator="greaterThan">
      <formula>0</formula>
    </cfRule>
  </conditionalFormatting>
  <conditionalFormatting sqref="C44:E47">
    <cfRule type="cellIs" dxfId="345" priority="15" operator="greaterThan">
      <formula>0</formula>
    </cfRule>
    <cfRule type="cellIs" dxfId="344" priority="16" operator="greaterThan">
      <formula>0</formula>
    </cfRule>
    <cfRule type="cellIs" dxfId="343" priority="17" operator="greaterThan">
      <formula>0</formula>
    </cfRule>
  </conditionalFormatting>
  <conditionalFormatting sqref="C44:E47">
    <cfRule type="cellIs" dxfId="342" priority="13" operator="greaterThan">
      <formula>0</formula>
    </cfRule>
  </conditionalFormatting>
  <conditionalFormatting sqref="J3:K17">
    <cfRule type="cellIs" dxfId="341" priority="3" operator="greaterThan">
      <formula>0</formula>
    </cfRule>
    <cfRule type="cellIs" dxfId="340" priority="7" operator="greaterThan">
      <formula>0</formula>
    </cfRule>
    <cfRule type="cellIs" dxfId="339" priority="8" operator="greaterThan">
      <formula>0</formula>
    </cfRule>
    <cfRule type="cellIs" dxfId="338" priority="9" operator="greaterThan">
      <formula>0</formula>
    </cfRule>
  </conditionalFormatting>
  <conditionalFormatting sqref="I3:I17">
    <cfRule type="cellIs" dxfId="337" priority="10" operator="equal">
      <formula>"НЕТ"</formula>
    </cfRule>
    <cfRule type="cellIs" dxfId="336" priority="11" operator="equal">
      <formula>"ДА"</formula>
    </cfRule>
  </conditionalFormatting>
  <conditionalFormatting sqref="I3:I17">
    <cfRule type="colorScale" priority="1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3">
    <cfRule type="cellIs" dxfId="335" priority="6" operator="greaterThan">
      <formula>0</formula>
    </cfRule>
  </conditionalFormatting>
  <conditionalFormatting sqref="C19:E51 C55:E55">
    <cfRule type="cellIs" dxfId="334" priority="5" operator="greaterThan">
      <formula>0</formula>
    </cfRule>
  </conditionalFormatting>
  <conditionalFormatting sqref="E56">
    <cfRule type="cellIs" dxfId="333" priority="4" operator="greaterThan">
      <formula>0</formula>
    </cfRule>
  </conditionalFormatting>
  <conditionalFormatting sqref="C14:C16">
    <cfRule type="cellIs" dxfId="332" priority="2" operator="greaterThan">
      <formula>0</formula>
    </cfRule>
  </conditionalFormatting>
  <conditionalFormatting sqref="C52:E54">
    <cfRule type="cellIs" dxfId="331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/>
  <dimension ref="A1:K65"/>
  <sheetViews>
    <sheetView workbookViewId="0">
      <pane ySplit="20" topLeftCell="A30" activePane="bottomLeft" state="frozen"/>
      <selection pane="bottomLeft" activeCell="O10" sqref="O10"/>
    </sheetView>
  </sheetViews>
  <sheetFormatPr defaultRowHeight="11.25"/>
  <cols>
    <col min="1" max="1" width="5" customWidth="1"/>
    <col min="2" max="2" width="60.1640625" customWidth="1"/>
    <col min="4" max="4" width="11.83203125" customWidth="1"/>
    <col min="5" max="5" width="14.33203125" customWidth="1"/>
    <col min="6" max="6" width="28.6640625" customWidth="1"/>
    <col min="7" max="7" width="4.33203125" customWidth="1"/>
    <col min="8" max="8" width="48.5" customWidth="1"/>
    <col min="9" max="9" width="5.1640625" customWidth="1"/>
  </cols>
  <sheetData>
    <row r="1" spans="1:11" ht="51" customHeight="1" thickBot="1">
      <c r="A1" s="408"/>
      <c r="B1" s="1293"/>
      <c r="C1" s="1294"/>
      <c r="D1" s="1294"/>
      <c r="E1" s="1294"/>
      <c r="F1" s="408"/>
      <c r="G1" s="408"/>
      <c r="H1" s="408"/>
      <c r="I1" s="408"/>
      <c r="J1" s="408"/>
      <c r="K1" s="408"/>
    </row>
    <row r="2" spans="1:11" ht="12" customHeight="1" thickBot="1">
      <c r="A2" s="408"/>
      <c r="B2" s="410" t="s">
        <v>666</v>
      </c>
      <c r="C2" s="594">
        <v>2</v>
      </c>
      <c r="D2" s="1238" t="s">
        <v>595</v>
      </c>
      <c r="E2" s="1239"/>
      <c r="F2" s="1240"/>
      <c r="G2" s="442"/>
      <c r="H2" s="412" t="s">
        <v>485</v>
      </c>
      <c r="I2" s="691" t="s">
        <v>604</v>
      </c>
      <c r="J2" s="413" t="s">
        <v>4</v>
      </c>
      <c r="K2" s="414" t="s">
        <v>8</v>
      </c>
    </row>
    <row r="3" spans="1:11" ht="12" customHeight="1" thickBot="1">
      <c r="A3" s="408"/>
      <c r="B3" s="415" t="s">
        <v>667</v>
      </c>
      <c r="C3" s="462">
        <v>4</v>
      </c>
      <c r="D3" s="1241"/>
      <c r="E3" s="1242"/>
      <c r="F3" s="1243"/>
      <c r="G3" s="442"/>
      <c r="H3" s="416" t="s">
        <v>489</v>
      </c>
      <c r="I3" s="626" t="str">
        <f>IF(AND($C$6+$C$7=1,$C$8+$C$9=0,$C$10=1),"ДА","НЕТ")</f>
        <v>НЕТ</v>
      </c>
      <c r="J3" s="321"/>
      <c r="K3" s="322">
        <f>IF(I3="ДА",($C$4+$C$5)*J3,0)</f>
        <v>0</v>
      </c>
    </row>
    <row r="4" spans="1:11" ht="12" customHeight="1">
      <c r="A4" s="408"/>
      <c r="B4" s="410" t="s">
        <v>509</v>
      </c>
      <c r="C4" s="589">
        <v>2</v>
      </c>
      <c r="D4" s="1301" t="s">
        <v>128</v>
      </c>
      <c r="E4" s="1302"/>
      <c r="F4" s="1303"/>
      <c r="G4" s="442"/>
      <c r="H4" s="421" t="s">
        <v>486</v>
      </c>
      <c r="I4" s="627" t="str">
        <f>IF(AND($C$6+$C$7=1,$C$8+$C$9=0,$C$10=3),"ДА","НЕТ")</f>
        <v>НЕТ</v>
      </c>
      <c r="J4" s="328"/>
      <c r="K4" s="322">
        <f t="shared" ref="K4:K15" si="0">IF(I4="ДА",($C$4+$C$5)*J4,0)</f>
        <v>0</v>
      </c>
    </row>
    <row r="5" spans="1:11" ht="12" customHeight="1" thickBot="1">
      <c r="A5" s="408"/>
      <c r="B5" s="443" t="s">
        <v>510</v>
      </c>
      <c r="C5" s="591">
        <v>0</v>
      </c>
      <c r="D5" s="1307"/>
      <c r="E5" s="1308"/>
      <c r="F5" s="1309"/>
      <c r="G5" s="442"/>
      <c r="H5" s="421" t="s">
        <v>591</v>
      </c>
      <c r="I5" s="627" t="str">
        <f>IF(AND($C$6+$C$7=1,$C$8+$C$9=0,$C$10=3),"ДА","НЕТ")</f>
        <v>НЕТ</v>
      </c>
      <c r="J5" s="328"/>
      <c r="K5" s="322">
        <f t="shared" si="0"/>
        <v>0</v>
      </c>
    </row>
    <row r="6" spans="1:11" ht="12" customHeight="1">
      <c r="A6" s="408"/>
      <c r="B6" s="410" t="s">
        <v>498</v>
      </c>
      <c r="C6" s="610">
        <v>1</v>
      </c>
      <c r="D6" s="423" t="s">
        <v>287</v>
      </c>
      <c r="E6" s="628" t="s">
        <v>255</v>
      </c>
      <c r="F6" s="1247" t="s">
        <v>597</v>
      </c>
      <c r="G6" s="442"/>
      <c r="H6" s="421" t="s">
        <v>487</v>
      </c>
      <c r="I6" s="627" t="str">
        <f>IF(AND($C$6+$C$7=1,$C$8+$C$9=0,$C$10=2),"ДА","НЕТ")</f>
        <v>ДА</v>
      </c>
      <c r="J6" s="328"/>
      <c r="K6" s="322">
        <f t="shared" si="0"/>
        <v>0</v>
      </c>
    </row>
    <row r="7" spans="1:11" ht="12" customHeight="1">
      <c r="A7" s="408"/>
      <c r="B7" s="420" t="s">
        <v>499</v>
      </c>
      <c r="C7" s="464">
        <v>0</v>
      </c>
      <c r="D7" s="427" t="s">
        <v>287</v>
      </c>
      <c r="E7" s="647" t="s">
        <v>255</v>
      </c>
      <c r="F7" s="1247"/>
      <c r="G7" s="442"/>
      <c r="H7" s="421" t="s">
        <v>488</v>
      </c>
      <c r="I7" s="627" t="str">
        <f>IF(AND($C$6+$C$7=1,$C$8+$C$9=0,$C$10=2),"ДА","НЕТ")</f>
        <v>ДА</v>
      </c>
      <c r="J7" s="328"/>
      <c r="K7" s="322">
        <f t="shared" si="0"/>
        <v>0</v>
      </c>
    </row>
    <row r="8" spans="1:11" ht="12" customHeight="1">
      <c r="A8" s="408"/>
      <c r="B8" s="422" t="s">
        <v>500</v>
      </c>
      <c r="C8" s="465">
        <v>0</v>
      </c>
      <c r="D8" s="425" t="s">
        <v>287</v>
      </c>
      <c r="E8" s="693" t="s">
        <v>255</v>
      </c>
      <c r="F8" s="1247"/>
      <c r="G8" s="442"/>
      <c r="H8" s="421" t="s">
        <v>494</v>
      </c>
      <c r="I8" s="627" t="str">
        <f>IF(AND($C$6+$C$7=1,$C$8+$C$9=0,$C$10=2),"ДА","НЕТ")</f>
        <v>ДА</v>
      </c>
      <c r="J8" s="328"/>
      <c r="K8" s="322">
        <f t="shared" si="0"/>
        <v>0</v>
      </c>
    </row>
    <row r="9" spans="1:11" ht="12" customHeight="1" thickBot="1">
      <c r="A9" s="408"/>
      <c r="B9" s="415" t="s">
        <v>501</v>
      </c>
      <c r="C9" s="466">
        <v>0</v>
      </c>
      <c r="D9" s="430" t="s">
        <v>287</v>
      </c>
      <c r="E9" s="722" t="s">
        <v>255</v>
      </c>
      <c r="F9" s="1248"/>
      <c r="G9" s="442"/>
      <c r="H9" s="416" t="s">
        <v>590</v>
      </c>
      <c r="I9" s="627" t="str">
        <f>IF(AND($C$6+$C$7=1,$C$8+$C$9=0,$C$10=1),"ДА","НЕТ")</f>
        <v>НЕТ</v>
      </c>
      <c r="J9" s="321"/>
      <c r="K9" s="322">
        <f t="shared" si="0"/>
        <v>0</v>
      </c>
    </row>
    <row r="10" spans="1:11" ht="12" customHeight="1" thickBot="1">
      <c r="A10" s="408"/>
      <c r="B10" s="432" t="s">
        <v>589</v>
      </c>
      <c r="C10" s="551">
        <v>2</v>
      </c>
      <c r="D10" s="436" t="s">
        <v>619</v>
      </c>
      <c r="E10" s="723" t="s">
        <v>620</v>
      </c>
      <c r="F10" s="439" t="s">
        <v>621</v>
      </c>
      <c r="G10" s="442"/>
      <c r="H10" s="416" t="s">
        <v>383</v>
      </c>
      <c r="I10" s="627" t="str">
        <f>IF(AND($C$6+$C$7=0,$C$8+$C$9=1,$C$10=1),"ДА","НЕТ")</f>
        <v>НЕТ</v>
      </c>
      <c r="J10" s="328"/>
      <c r="K10" s="322">
        <f t="shared" si="0"/>
        <v>0</v>
      </c>
    </row>
    <row r="11" spans="1:11" ht="12" customHeight="1" thickBot="1">
      <c r="A11" s="408"/>
      <c r="B11" s="418" t="s">
        <v>393</v>
      </c>
      <c r="C11" s="463">
        <v>0</v>
      </c>
      <c r="D11" s="703" t="s">
        <v>394</v>
      </c>
      <c r="E11" s="721" t="s">
        <v>395</v>
      </c>
      <c r="F11" s="1314"/>
      <c r="G11" s="442"/>
      <c r="H11" s="419" t="s">
        <v>384</v>
      </c>
      <c r="I11" s="627" t="str">
        <f>IF(AND($C$6+$C$7=0,$C$8+$C$9=1,$C$10=1),"ДА","НЕТ")</f>
        <v>НЕТ</v>
      </c>
      <c r="J11" s="328"/>
      <c r="K11" s="322">
        <f t="shared" si="0"/>
        <v>0</v>
      </c>
    </row>
    <row r="12" spans="1:11" ht="12" customHeight="1" thickBot="1">
      <c r="A12" s="408"/>
      <c r="B12" s="432" t="s">
        <v>358</v>
      </c>
      <c r="C12" s="468">
        <v>0</v>
      </c>
      <c r="D12" s="436" t="s">
        <v>417</v>
      </c>
      <c r="E12" s="439" t="s">
        <v>418</v>
      </c>
      <c r="F12" s="1315"/>
      <c r="G12" s="442"/>
      <c r="H12" s="419" t="s">
        <v>385</v>
      </c>
      <c r="I12" s="627" t="str">
        <f>IF(AND($C$6+$C$7=0,$C$8+$C$9=1,$C$10=1),"ДА","НЕТ")</f>
        <v>НЕТ</v>
      </c>
      <c r="J12" s="331"/>
      <c r="K12" s="322">
        <f t="shared" si="0"/>
        <v>0</v>
      </c>
    </row>
    <row r="13" spans="1:11" ht="12" customHeight="1" thickBot="1">
      <c r="A13" s="408"/>
      <c r="B13" s="432" t="s">
        <v>123</v>
      </c>
      <c r="C13" s="569">
        <v>2</v>
      </c>
      <c r="D13" s="1290" t="s">
        <v>675</v>
      </c>
      <c r="E13" s="1291"/>
      <c r="F13" s="1292"/>
      <c r="G13" s="442"/>
      <c r="H13" s="416" t="s">
        <v>388</v>
      </c>
      <c r="I13" s="627" t="str">
        <f>IF(AND($C$6+$C$7=0,$C$8+$C$9=1,$C$10=2),"ДА","НЕТ")</f>
        <v>НЕТ</v>
      </c>
      <c r="J13" s="328"/>
      <c r="K13" s="322">
        <f t="shared" si="0"/>
        <v>0</v>
      </c>
    </row>
    <row r="14" spans="1:11" ht="12" customHeight="1" thickBot="1">
      <c r="A14" s="408"/>
      <c r="B14" s="694" t="s">
        <v>502</v>
      </c>
      <c r="C14" s="591">
        <v>0</v>
      </c>
      <c r="D14" s="1290" t="s">
        <v>540</v>
      </c>
      <c r="E14" s="1291"/>
      <c r="F14" s="1292"/>
      <c r="G14" s="442"/>
      <c r="H14" s="419" t="s">
        <v>389</v>
      </c>
      <c r="I14" s="627" t="str">
        <f>IF(AND($C$6+$C$7=0,$C$8+$C$9=1,$C$10=2),"ДА","НЕТ")</f>
        <v>НЕТ</v>
      </c>
      <c r="J14" s="328"/>
      <c r="K14" s="322">
        <f t="shared" si="0"/>
        <v>0</v>
      </c>
    </row>
    <row r="15" spans="1:11" ht="12" customHeight="1" thickBot="1">
      <c r="A15" s="408"/>
      <c r="B15" s="422" t="s">
        <v>397</v>
      </c>
      <c r="C15" s="465">
        <v>0</v>
      </c>
      <c r="D15" s="423" t="s">
        <v>287</v>
      </c>
      <c r="E15" s="628" t="s">
        <v>255</v>
      </c>
      <c r="F15" s="1259" t="s">
        <v>597</v>
      </c>
      <c r="G15" s="442"/>
      <c r="H15" s="440" t="s">
        <v>390</v>
      </c>
      <c r="I15" s="637" t="str">
        <f>IF(AND($C$6+$C$7=0,$C$8+$C$9=1,$C$10=2),"ДА","НЕТ")</f>
        <v>НЕТ</v>
      </c>
      <c r="J15" s="335"/>
      <c r="K15" s="478">
        <f t="shared" si="0"/>
        <v>0</v>
      </c>
    </row>
    <row r="16" spans="1:11" ht="12" customHeight="1" thickBot="1">
      <c r="A16" s="408"/>
      <c r="B16" s="415" t="s">
        <v>398</v>
      </c>
      <c r="C16" s="466">
        <v>1</v>
      </c>
      <c r="D16" s="430" t="s">
        <v>287</v>
      </c>
      <c r="E16" s="722" t="s">
        <v>255</v>
      </c>
      <c r="F16" s="1260"/>
      <c r="G16" s="442"/>
      <c r="H16" s="442"/>
      <c r="I16" s="442"/>
      <c r="J16" s="442"/>
      <c r="K16" s="442"/>
    </row>
    <row r="17" spans="1:11" ht="12" customHeight="1">
      <c r="A17" s="408"/>
      <c r="B17" s="410" t="s">
        <v>147</v>
      </c>
      <c r="C17" s="467">
        <v>0</v>
      </c>
      <c r="D17" s="1249" t="s">
        <v>686</v>
      </c>
      <c r="E17" s="1250"/>
      <c r="F17" s="1251"/>
      <c r="G17" s="442"/>
      <c r="H17" s="442"/>
      <c r="I17" s="442"/>
      <c r="J17" s="442"/>
      <c r="K17" s="442"/>
    </row>
    <row r="18" spans="1:11" ht="12" customHeight="1" thickBot="1">
      <c r="A18" s="408"/>
      <c r="B18" s="415" t="s">
        <v>146</v>
      </c>
      <c r="C18" s="466">
        <v>0</v>
      </c>
      <c r="D18" s="1255" t="s">
        <v>687</v>
      </c>
      <c r="E18" s="1256"/>
      <c r="F18" s="1257"/>
      <c r="G18" s="442"/>
      <c r="H18" s="442"/>
      <c r="I18" s="442"/>
      <c r="J18" s="442"/>
      <c r="K18" s="442"/>
    </row>
    <row r="19" spans="1:11" ht="12" customHeight="1" thickBot="1">
      <c r="A19" s="408"/>
      <c r="B19" s="642"/>
      <c r="C19" s="642"/>
      <c r="D19" s="642"/>
      <c r="E19" s="642"/>
      <c r="F19" s="442"/>
      <c r="G19" s="442"/>
      <c r="H19" s="442"/>
      <c r="I19" s="442"/>
      <c r="J19" s="442"/>
      <c r="K19" s="442"/>
    </row>
    <row r="20" spans="1:11" ht="12" customHeight="1" thickBot="1">
      <c r="A20" s="408"/>
      <c r="B20" s="497" t="s">
        <v>5</v>
      </c>
      <c r="C20" s="498" t="s">
        <v>0</v>
      </c>
      <c r="D20" s="499" t="s">
        <v>4</v>
      </c>
      <c r="E20" s="500" t="s">
        <v>8</v>
      </c>
      <c r="F20" s="442"/>
      <c r="G20" s="442"/>
      <c r="H20" s="442"/>
      <c r="I20" s="442"/>
      <c r="J20" s="442"/>
      <c r="K20" s="442"/>
    </row>
    <row r="21" spans="1:11" ht="12" customHeight="1">
      <c r="A21" s="408"/>
      <c r="B21" s="454" t="s">
        <v>401</v>
      </c>
      <c r="C21" s="350">
        <f>C2*C13</f>
        <v>4</v>
      </c>
      <c r="D21" s="356"/>
      <c r="E21" s="347">
        <f t="shared" ref="E21:E26" si="1">C21*D21</f>
        <v>0</v>
      </c>
      <c r="F21" s="442"/>
      <c r="G21" s="442"/>
      <c r="H21" s="442"/>
      <c r="I21" s="442"/>
      <c r="J21" s="442"/>
      <c r="K21" s="442"/>
    </row>
    <row r="22" spans="1:11" ht="12" customHeight="1">
      <c r="A22" s="408"/>
      <c r="B22" s="454" t="s">
        <v>402</v>
      </c>
      <c r="C22" s="350">
        <f>IF(C16=1,C2*C13,0)</f>
        <v>4</v>
      </c>
      <c r="D22" s="356"/>
      <c r="E22" s="347">
        <f t="shared" si="1"/>
        <v>0</v>
      </c>
      <c r="F22" s="442"/>
      <c r="G22" s="442"/>
      <c r="H22" s="442"/>
      <c r="I22" s="442"/>
      <c r="J22" s="442"/>
      <c r="K22" s="442"/>
    </row>
    <row r="23" spans="1:11" ht="12" customHeight="1">
      <c r="A23" s="408"/>
      <c r="B23" s="452" t="s">
        <v>399</v>
      </c>
      <c r="C23" s="345">
        <f>IF(AND(C15=1,C16=0),(C4+C5)*C13*2,0)</f>
        <v>0</v>
      </c>
      <c r="D23" s="356"/>
      <c r="E23" s="347">
        <f t="shared" si="1"/>
        <v>0</v>
      </c>
      <c r="F23" s="442"/>
      <c r="G23" s="442"/>
      <c r="H23" s="442"/>
      <c r="I23" s="442"/>
      <c r="J23" s="442"/>
      <c r="K23" s="442"/>
    </row>
    <row r="24" spans="1:11" ht="12" customHeight="1">
      <c r="A24" s="408"/>
      <c r="B24" s="452" t="s">
        <v>400</v>
      </c>
      <c r="C24" s="345">
        <f>IF(AND(C15=0,C16=1),(C4+C5)*C13,0)</f>
        <v>4</v>
      </c>
      <c r="D24" s="356"/>
      <c r="E24" s="347">
        <f t="shared" si="1"/>
        <v>0</v>
      </c>
      <c r="F24" s="442"/>
      <c r="G24" s="442"/>
      <c r="H24" s="442"/>
      <c r="I24" s="442"/>
      <c r="J24" s="442"/>
      <c r="K24" s="442"/>
    </row>
    <row r="25" spans="1:11" ht="12" customHeight="1">
      <c r="A25" s="408"/>
      <c r="B25" s="454" t="s">
        <v>419</v>
      </c>
      <c r="C25" s="350">
        <f>EVEN(ROUNDDOWN(IF(C13&gt;0,(C2/0.5)*C13,0),0))</f>
        <v>8</v>
      </c>
      <c r="D25" s="351"/>
      <c r="E25" s="347">
        <f t="shared" si="1"/>
        <v>0</v>
      </c>
      <c r="F25" s="442"/>
      <c r="G25" s="442"/>
      <c r="H25" s="442"/>
      <c r="I25" s="442"/>
      <c r="J25" s="442"/>
      <c r="K25" s="442"/>
    </row>
    <row r="26" spans="1:11" ht="12" customHeight="1">
      <c r="A26" s="408"/>
      <c r="B26" s="452" t="s">
        <v>422</v>
      </c>
      <c r="C26" s="357">
        <f>C2*C13</f>
        <v>4</v>
      </c>
      <c r="D26" s="351"/>
      <c r="E26" s="347">
        <f t="shared" si="1"/>
        <v>0</v>
      </c>
      <c r="F26" s="442"/>
      <c r="G26" s="442"/>
      <c r="H26" s="442"/>
      <c r="I26" s="442"/>
      <c r="J26" s="442"/>
      <c r="K26" s="442"/>
    </row>
    <row r="27" spans="1:11" ht="12" customHeight="1">
      <c r="A27" s="408"/>
      <c r="B27" s="454" t="s">
        <v>420</v>
      </c>
      <c r="C27" s="350">
        <f>IF(AND(C6+C7&gt;0,C8+C9=0,C12=0),C13*2,0)</f>
        <v>4</v>
      </c>
      <c r="D27" s="356"/>
      <c r="E27" s="347">
        <f t="shared" ref="E27:E56" si="2">C27*D27</f>
        <v>0</v>
      </c>
      <c r="F27" s="442"/>
      <c r="G27" s="442"/>
      <c r="H27" s="442"/>
      <c r="I27" s="442"/>
      <c r="J27" s="442"/>
      <c r="K27" s="442"/>
    </row>
    <row r="28" spans="1:11" ht="12" customHeight="1">
      <c r="A28" s="408"/>
      <c r="B28" s="454" t="s">
        <v>421</v>
      </c>
      <c r="C28" s="353">
        <f>IF(AND(C6+C7&gt;0,C8+C9=0,C12=1),C13*2,0)</f>
        <v>0</v>
      </c>
      <c r="D28" s="401"/>
      <c r="E28" s="347">
        <f t="shared" si="2"/>
        <v>0</v>
      </c>
      <c r="F28" s="442"/>
      <c r="G28" s="442"/>
      <c r="H28" s="442"/>
      <c r="I28" s="442"/>
      <c r="J28" s="442"/>
      <c r="K28" s="442"/>
    </row>
    <row r="29" spans="1:11" ht="12" customHeight="1">
      <c r="A29" s="408"/>
      <c r="B29" s="454" t="s">
        <v>420</v>
      </c>
      <c r="C29" s="350">
        <f>IF(AND(C6+C7=0,C8+C9&gt;0,C12=0),C13,0)</f>
        <v>0</v>
      </c>
      <c r="D29" s="356"/>
      <c r="E29" s="347">
        <f t="shared" si="2"/>
        <v>0</v>
      </c>
      <c r="F29" s="442"/>
      <c r="G29" s="442"/>
      <c r="H29" s="442"/>
      <c r="I29" s="442"/>
      <c r="J29" s="442"/>
      <c r="K29" s="442"/>
    </row>
    <row r="30" spans="1:11" ht="12" customHeight="1">
      <c r="A30" s="408"/>
      <c r="B30" s="454" t="s">
        <v>421</v>
      </c>
      <c r="C30" s="353">
        <f>IF(AND(C6+C7=0,C8+C9&gt;0,C12=1),C13,0)</f>
        <v>0</v>
      </c>
      <c r="D30" s="401"/>
      <c r="E30" s="347">
        <f t="shared" si="2"/>
        <v>0</v>
      </c>
      <c r="F30" s="442"/>
      <c r="G30" s="442"/>
      <c r="H30" s="442"/>
      <c r="I30" s="442"/>
      <c r="J30" s="442"/>
      <c r="K30" s="442"/>
    </row>
    <row r="31" spans="1:11" ht="12" customHeight="1">
      <c r="A31" s="408"/>
      <c r="B31" s="454" t="s">
        <v>513</v>
      </c>
      <c r="C31" s="350">
        <f>IF(AND(C6+C7&gt;0,C8+C9=0,C12=0),(((C4+C5)-1)+C14)*C13,0)</f>
        <v>2</v>
      </c>
      <c r="D31" s="356"/>
      <c r="E31" s="347">
        <f t="shared" si="2"/>
        <v>0</v>
      </c>
      <c r="F31" s="442"/>
      <c r="G31" s="442"/>
      <c r="H31" s="442"/>
      <c r="I31" s="442"/>
      <c r="J31" s="442"/>
      <c r="K31" s="442"/>
    </row>
    <row r="32" spans="1:11" ht="12" customHeight="1">
      <c r="A32" s="408"/>
      <c r="B32" s="454" t="s">
        <v>512</v>
      </c>
      <c r="C32" s="353">
        <f>IF(AND(C6+C7&gt;0,C8+C9=0,C12=1),(((C4+C5)-1)+C14)*C13,0)</f>
        <v>0</v>
      </c>
      <c r="D32" s="401"/>
      <c r="E32" s="347">
        <f t="shared" si="2"/>
        <v>0</v>
      </c>
      <c r="F32" s="442"/>
      <c r="G32" s="442"/>
      <c r="H32" s="442"/>
      <c r="I32" s="442"/>
      <c r="J32" s="442"/>
      <c r="K32" s="442"/>
    </row>
    <row r="33" spans="1:11" ht="12" customHeight="1">
      <c r="A33" s="408"/>
      <c r="B33" s="454" t="s">
        <v>513</v>
      </c>
      <c r="C33" s="350">
        <f>IF(AND(C6+C7=0,C8+C9&gt;0,C12=0),((C4+C5)+C14)*C13,0)</f>
        <v>0</v>
      </c>
      <c r="D33" s="356"/>
      <c r="E33" s="347">
        <f t="shared" si="2"/>
        <v>0</v>
      </c>
      <c r="F33" s="442"/>
      <c r="G33" s="442"/>
      <c r="H33" s="442"/>
      <c r="I33" s="442"/>
      <c r="J33" s="442"/>
      <c r="K33" s="442"/>
    </row>
    <row r="34" spans="1:11" ht="12" customHeight="1">
      <c r="A34" s="408"/>
      <c r="B34" s="454" t="s">
        <v>512</v>
      </c>
      <c r="C34" s="353">
        <f>IF(AND(C6+C7=0,C8+C9&gt;0,C12=1),((C4+C5)+C14)*C13,0)</f>
        <v>0</v>
      </c>
      <c r="D34" s="401"/>
      <c r="E34" s="347">
        <f t="shared" si="2"/>
        <v>0</v>
      </c>
      <c r="F34" s="442"/>
      <c r="G34" s="442"/>
      <c r="H34" s="442"/>
      <c r="I34" s="442"/>
      <c r="J34" s="442"/>
      <c r="K34" s="442"/>
    </row>
    <row r="35" spans="1:11" ht="12" customHeight="1">
      <c r="A35" s="408"/>
      <c r="B35" s="452" t="s">
        <v>680</v>
      </c>
      <c r="C35" s="353">
        <f>C13*2</f>
        <v>4</v>
      </c>
      <c r="D35" s="401"/>
      <c r="E35" s="347">
        <f t="shared" si="2"/>
        <v>0</v>
      </c>
      <c r="F35" s="442"/>
      <c r="G35" s="442"/>
      <c r="H35" s="442"/>
      <c r="I35" s="442"/>
      <c r="J35" s="442"/>
      <c r="K35" s="442"/>
    </row>
    <row r="36" spans="1:11" ht="12" customHeight="1">
      <c r="A36" s="408"/>
      <c r="B36" s="454" t="s">
        <v>514</v>
      </c>
      <c r="C36" s="350">
        <f>((C4+C5)-1)*C13</f>
        <v>2</v>
      </c>
      <c r="D36" s="356"/>
      <c r="E36" s="347">
        <f t="shared" si="2"/>
        <v>0</v>
      </c>
      <c r="F36" s="442"/>
      <c r="G36" s="442"/>
      <c r="H36" s="442"/>
      <c r="I36" s="442"/>
      <c r="J36" s="442"/>
      <c r="K36" s="442"/>
    </row>
    <row r="37" spans="1:11" ht="12" customHeight="1">
      <c r="A37" s="408"/>
      <c r="B37" s="683" t="s">
        <v>424</v>
      </c>
      <c r="C37" s="402">
        <f>((C4+C5)+1+C14)*C13*2</f>
        <v>12</v>
      </c>
      <c r="D37" s="265"/>
      <c r="E37" s="275">
        <v>0</v>
      </c>
      <c r="F37" s="442"/>
      <c r="G37" s="442"/>
      <c r="H37" s="442"/>
      <c r="I37" s="442"/>
      <c r="J37" s="442"/>
      <c r="K37" s="442"/>
    </row>
    <row r="38" spans="1:11" ht="12" customHeight="1">
      <c r="A38" s="408"/>
      <c r="B38" s="455" t="s">
        <v>506</v>
      </c>
      <c r="C38" s="402">
        <f>((C4+C5)-1+C14)*C13</f>
        <v>2</v>
      </c>
      <c r="D38" s="356"/>
      <c r="E38" s="403">
        <f t="shared" si="2"/>
        <v>0</v>
      </c>
      <c r="F38" s="442"/>
      <c r="G38" s="442"/>
      <c r="H38" s="442"/>
      <c r="I38" s="442"/>
      <c r="J38" s="442"/>
      <c r="K38" s="442"/>
    </row>
    <row r="39" spans="1:11" ht="12" customHeight="1">
      <c r="A39" s="408"/>
      <c r="B39" s="455" t="s">
        <v>681</v>
      </c>
      <c r="C39" s="402">
        <f>((C4+C5)+1+C14)*C13</f>
        <v>6</v>
      </c>
      <c r="D39" s="356">
        <v>1</v>
      </c>
      <c r="E39" s="403">
        <f>C39*D39</f>
        <v>6</v>
      </c>
      <c r="F39" s="442"/>
      <c r="G39" s="442"/>
      <c r="H39" s="442"/>
      <c r="I39" s="442"/>
      <c r="J39" s="442"/>
      <c r="K39" s="442"/>
    </row>
    <row r="40" spans="1:11" ht="12" customHeight="1">
      <c r="A40" s="408"/>
      <c r="B40" s="455" t="s">
        <v>682</v>
      </c>
      <c r="C40" s="402">
        <f>((C4+C5)-1)*C13</f>
        <v>2</v>
      </c>
      <c r="D40" s="356"/>
      <c r="E40" s="403">
        <f>C40*D40</f>
        <v>0</v>
      </c>
      <c r="F40" s="442"/>
      <c r="G40" s="442"/>
      <c r="H40" s="442"/>
      <c r="I40" s="442"/>
      <c r="J40" s="442"/>
      <c r="K40" s="442"/>
    </row>
    <row r="41" spans="1:11" ht="12" customHeight="1">
      <c r="A41" s="408"/>
      <c r="B41" s="455" t="s">
        <v>515</v>
      </c>
      <c r="C41" s="402">
        <f>((C4+C5)-1+C14)*C13</f>
        <v>2</v>
      </c>
      <c r="D41" s="356"/>
      <c r="E41" s="403">
        <f t="shared" si="2"/>
        <v>0</v>
      </c>
      <c r="F41" s="442"/>
      <c r="G41" s="442"/>
      <c r="H41" s="442"/>
      <c r="I41" s="442"/>
      <c r="J41" s="442"/>
      <c r="K41" s="442"/>
    </row>
    <row r="42" spans="1:11" ht="12" customHeight="1">
      <c r="A42" s="408"/>
      <c r="B42" s="455" t="s">
        <v>508</v>
      </c>
      <c r="C42" s="402">
        <f>C14*C13</f>
        <v>0</v>
      </c>
      <c r="D42" s="356"/>
      <c r="E42" s="403">
        <f t="shared" si="2"/>
        <v>0</v>
      </c>
      <c r="F42" s="442"/>
      <c r="G42" s="442"/>
      <c r="H42" s="442"/>
      <c r="I42" s="442"/>
      <c r="J42" s="442"/>
      <c r="K42" s="442"/>
    </row>
    <row r="43" spans="1:11" ht="12" customHeight="1">
      <c r="A43" s="408"/>
      <c r="B43" s="454" t="s">
        <v>505</v>
      </c>
      <c r="C43" s="350">
        <f>((C4+C5)-1)*C13</f>
        <v>2</v>
      </c>
      <c r="D43" s="356"/>
      <c r="E43" s="347">
        <f t="shared" si="2"/>
        <v>0</v>
      </c>
      <c r="F43" s="442"/>
      <c r="G43" s="442"/>
      <c r="H43" s="442"/>
      <c r="I43" s="442"/>
      <c r="J43" s="442"/>
      <c r="K43" s="442"/>
    </row>
    <row r="44" spans="1:11" ht="12" customHeight="1">
      <c r="A44" s="408"/>
      <c r="B44" s="454" t="s">
        <v>432</v>
      </c>
      <c r="C44" s="345">
        <f>IF(C5=0,(C36+C43+C50),0)</f>
        <v>6</v>
      </c>
      <c r="D44" s="399"/>
      <c r="E44" s="347">
        <f t="shared" si="2"/>
        <v>0</v>
      </c>
      <c r="F44" s="442"/>
      <c r="G44" s="442"/>
      <c r="H44" s="442"/>
      <c r="I44" s="442"/>
      <c r="J44" s="442"/>
      <c r="K44" s="442"/>
    </row>
    <row r="45" spans="1:11" ht="12" customHeight="1">
      <c r="A45" s="408"/>
      <c r="B45" s="454" t="s">
        <v>433</v>
      </c>
      <c r="C45" s="350">
        <f>IF(C5=0,(C36+C43+C50),0)</f>
        <v>6</v>
      </c>
      <c r="D45" s="356"/>
      <c r="E45" s="347">
        <f t="shared" si="2"/>
        <v>0</v>
      </c>
      <c r="F45" s="442"/>
      <c r="G45" s="442"/>
      <c r="H45" s="442"/>
      <c r="I45" s="442"/>
      <c r="J45" s="442"/>
      <c r="K45" s="442"/>
    </row>
    <row r="46" spans="1:11" ht="12" customHeight="1">
      <c r="A46" s="408"/>
      <c r="B46" s="454" t="s">
        <v>434</v>
      </c>
      <c r="C46" s="350">
        <f>IF(C4=0,(C36+C43+C50)*C13,0)</f>
        <v>0</v>
      </c>
      <c r="D46" s="356"/>
      <c r="E46" s="347">
        <f t="shared" si="2"/>
        <v>0</v>
      </c>
      <c r="F46" s="442"/>
      <c r="G46" s="442"/>
      <c r="H46" s="442"/>
      <c r="I46" s="442"/>
      <c r="J46" s="442"/>
      <c r="K46" s="442"/>
    </row>
    <row r="47" spans="1:11" ht="12" customHeight="1">
      <c r="A47" s="408"/>
      <c r="B47" s="452" t="s">
        <v>474</v>
      </c>
      <c r="C47" s="350">
        <f>C2*C13*2</f>
        <v>8</v>
      </c>
      <c r="D47" s="356"/>
      <c r="E47" s="347">
        <f t="shared" si="2"/>
        <v>0</v>
      </c>
      <c r="F47" s="442"/>
      <c r="G47" s="442"/>
      <c r="H47" s="442"/>
      <c r="I47" s="442"/>
      <c r="J47" s="442"/>
      <c r="K47" s="442"/>
    </row>
    <row r="48" spans="1:11" ht="12" customHeight="1">
      <c r="A48" s="408"/>
      <c r="B48" s="452" t="s">
        <v>461</v>
      </c>
      <c r="C48" s="357">
        <f>IF(AND(C4&gt;0,C5=0),C2*C13,0)</f>
        <v>4</v>
      </c>
      <c r="D48" s="356"/>
      <c r="E48" s="347">
        <f t="shared" si="2"/>
        <v>0</v>
      </c>
      <c r="F48" s="442"/>
      <c r="G48" s="442"/>
      <c r="H48" s="442"/>
      <c r="I48" s="442"/>
      <c r="J48" s="442"/>
      <c r="K48" s="442"/>
    </row>
    <row r="49" spans="1:11" ht="12" customHeight="1">
      <c r="A49" s="408"/>
      <c r="B49" s="452" t="s">
        <v>462</v>
      </c>
      <c r="C49" s="357">
        <f>IF(AND(C5&gt;0,C4=0),C2*C13,0)</f>
        <v>0</v>
      </c>
      <c r="D49" s="356"/>
      <c r="E49" s="347">
        <f t="shared" si="2"/>
        <v>0</v>
      </c>
      <c r="F49" s="442"/>
      <c r="G49" s="442"/>
      <c r="H49" s="442"/>
      <c r="I49" s="442"/>
      <c r="J49" s="442"/>
      <c r="K49" s="442"/>
    </row>
    <row r="50" spans="1:11" ht="12" customHeight="1">
      <c r="A50" s="408"/>
      <c r="B50" s="454" t="s">
        <v>423</v>
      </c>
      <c r="C50" s="357">
        <f>C13</f>
        <v>2</v>
      </c>
      <c r="D50" s="356"/>
      <c r="E50" s="347">
        <f t="shared" si="2"/>
        <v>0</v>
      </c>
      <c r="F50" s="442"/>
      <c r="G50" s="442"/>
      <c r="H50" s="442"/>
      <c r="I50" s="442"/>
      <c r="J50" s="442"/>
      <c r="K50" s="442"/>
    </row>
    <row r="51" spans="1:11" ht="12" customHeight="1">
      <c r="A51" s="408"/>
      <c r="B51" s="455" t="s">
        <v>378</v>
      </c>
      <c r="C51" s="357">
        <f>C6*C13</f>
        <v>2</v>
      </c>
      <c r="D51" s="356"/>
      <c r="E51" s="347">
        <f t="shared" si="2"/>
        <v>0</v>
      </c>
      <c r="F51" s="442"/>
      <c r="G51" s="442"/>
      <c r="H51" s="442"/>
      <c r="I51" s="442"/>
      <c r="J51" s="442"/>
      <c r="K51" s="442"/>
    </row>
    <row r="52" spans="1:11" ht="12" customHeight="1">
      <c r="A52" s="408"/>
      <c r="B52" s="455" t="s">
        <v>598</v>
      </c>
      <c r="C52" s="357">
        <f>C8*C13</f>
        <v>0</v>
      </c>
      <c r="D52" s="356"/>
      <c r="E52" s="347">
        <f t="shared" si="2"/>
        <v>0</v>
      </c>
      <c r="F52" s="442"/>
      <c r="G52" s="442"/>
      <c r="H52" s="442"/>
      <c r="I52" s="442"/>
      <c r="J52" s="442"/>
      <c r="K52" s="442"/>
    </row>
    <row r="53" spans="1:11" ht="12" customHeight="1">
      <c r="A53" s="408"/>
      <c r="B53" s="455" t="s">
        <v>436</v>
      </c>
      <c r="C53" s="357">
        <f>C7*C13</f>
        <v>0</v>
      </c>
      <c r="D53" s="356"/>
      <c r="E53" s="347">
        <f t="shared" si="2"/>
        <v>0</v>
      </c>
      <c r="F53" s="442"/>
      <c r="G53" s="442"/>
      <c r="H53" s="442"/>
      <c r="I53" s="442"/>
      <c r="J53" s="442"/>
      <c r="K53" s="442"/>
    </row>
    <row r="54" spans="1:11" ht="12" customHeight="1">
      <c r="A54" s="408"/>
      <c r="B54" s="528" t="s">
        <v>145</v>
      </c>
      <c r="C54" s="509">
        <f>C18</f>
        <v>0</v>
      </c>
      <c r="D54" s="525"/>
      <c r="E54" s="403">
        <f t="shared" si="2"/>
        <v>0</v>
      </c>
      <c r="F54" s="442"/>
      <c r="G54" s="442"/>
      <c r="H54" s="442"/>
      <c r="I54" s="442"/>
      <c r="J54" s="442"/>
      <c r="K54" s="442"/>
    </row>
    <row r="55" spans="1:11" ht="12" customHeight="1">
      <c r="A55" s="408"/>
      <c r="B55" s="528" t="s">
        <v>148</v>
      </c>
      <c r="C55" s="509">
        <f>C17</f>
        <v>0</v>
      </c>
      <c r="D55" s="525"/>
      <c r="E55" s="403">
        <f t="shared" si="2"/>
        <v>0</v>
      </c>
      <c r="F55" s="442"/>
      <c r="G55" s="442"/>
      <c r="H55" s="442"/>
      <c r="I55" s="442"/>
      <c r="J55" s="442"/>
      <c r="K55" s="442"/>
    </row>
    <row r="56" spans="1:11" ht="12" customHeight="1" thickBot="1">
      <c r="A56" s="408"/>
      <c r="B56" s="457" t="s">
        <v>599</v>
      </c>
      <c r="C56" s="405">
        <f>C9*C13</f>
        <v>0</v>
      </c>
      <c r="D56" s="476"/>
      <c r="E56" s="407">
        <f t="shared" si="2"/>
        <v>0</v>
      </c>
      <c r="F56" s="442"/>
      <c r="G56" s="442"/>
      <c r="H56" s="442"/>
      <c r="I56" s="442"/>
      <c r="J56" s="442"/>
      <c r="K56" s="442"/>
    </row>
    <row r="57" spans="1:11" ht="12" customHeight="1" thickBot="1">
      <c r="A57" s="408"/>
      <c r="B57" s="442"/>
      <c r="C57" s="442"/>
      <c r="D57" s="458" t="s">
        <v>9</v>
      </c>
      <c r="E57" s="530">
        <f>SUMIF(E21:E56,"&gt;0",E21:E56)</f>
        <v>6</v>
      </c>
      <c r="F57" s="442"/>
      <c r="G57" s="442"/>
      <c r="H57" s="442"/>
      <c r="I57" s="442"/>
      <c r="J57" s="442"/>
      <c r="K57" s="442"/>
    </row>
    <row r="58" spans="1:11">
      <c r="A58" s="408"/>
      <c r="B58" s="442"/>
      <c r="C58" s="442"/>
      <c r="D58" s="442"/>
      <c r="E58" s="442"/>
      <c r="F58" s="442"/>
      <c r="G58" s="442"/>
      <c r="H58" s="442"/>
      <c r="I58" s="442"/>
      <c r="J58" s="442"/>
      <c r="K58" s="442"/>
    </row>
    <row r="59" spans="1:11">
      <c r="A59" s="408"/>
      <c r="B59" s="408"/>
      <c r="C59" s="408"/>
      <c r="D59" s="408"/>
      <c r="E59" s="408"/>
      <c r="F59" s="408"/>
      <c r="G59" s="408"/>
      <c r="H59" s="408"/>
      <c r="I59" s="408"/>
      <c r="J59" s="408"/>
      <c r="K59" s="408"/>
    </row>
    <row r="60" spans="1:11" ht="11.25" customHeight="1">
      <c r="A60" s="408"/>
      <c r="B60" s="408"/>
      <c r="C60" s="408"/>
      <c r="D60" s="408"/>
      <c r="E60" s="408"/>
      <c r="F60" s="408"/>
      <c r="G60" s="408"/>
      <c r="H60" s="408"/>
      <c r="I60" s="408"/>
      <c r="J60" s="408"/>
      <c r="K60" s="408"/>
    </row>
    <row r="61" spans="1:11">
      <c r="A61" s="408"/>
      <c r="B61" s="408"/>
      <c r="C61" s="408"/>
      <c r="D61" s="408"/>
      <c r="E61" s="408"/>
      <c r="F61" s="408"/>
      <c r="G61" s="408"/>
      <c r="H61" s="408"/>
      <c r="I61" s="408"/>
      <c r="J61" s="408"/>
      <c r="K61" s="408"/>
    </row>
    <row r="62" spans="1:11">
      <c r="A62" s="408"/>
      <c r="B62" s="408"/>
      <c r="C62" s="408"/>
      <c r="D62" s="408"/>
      <c r="E62" s="408"/>
      <c r="F62" s="408"/>
      <c r="G62" s="408"/>
      <c r="H62" s="408"/>
      <c r="I62" s="408"/>
      <c r="J62" s="408"/>
      <c r="K62" s="408"/>
    </row>
    <row r="63" spans="1:11">
      <c r="A63" s="408"/>
      <c r="B63" s="408"/>
      <c r="C63" s="408"/>
      <c r="D63" s="408"/>
      <c r="E63" s="408"/>
      <c r="F63" s="408"/>
      <c r="G63" s="408"/>
      <c r="H63" s="408"/>
      <c r="I63" s="408"/>
      <c r="J63" s="408"/>
      <c r="K63" s="408"/>
    </row>
    <row r="65" ht="11.25" customHeight="1"/>
  </sheetData>
  <sheetProtection algorithmName="SHA-512" hashValue="OR4GLRp3HTz+Thu8dyxvR4VlZehw1W4KwMaNbZVu//AHMWEuwKuzYkiwAKgK2YPQSki/mjmE5VHN7Lhl3rSedw==" saltValue="2FgM6JuR+SRN2hFur/qm0Q==" spinCount="100000" sheet="1"/>
  <mergeCells count="10">
    <mergeCell ref="D17:F17"/>
    <mergeCell ref="D18:F18"/>
    <mergeCell ref="B1:E1"/>
    <mergeCell ref="D2:F3"/>
    <mergeCell ref="D4:F5"/>
    <mergeCell ref="F6:F9"/>
    <mergeCell ref="F15:F16"/>
    <mergeCell ref="D13:F13"/>
    <mergeCell ref="D14:F14"/>
    <mergeCell ref="F11:F12"/>
  </mergeCells>
  <conditionalFormatting sqref="C2:C3">
    <cfRule type="cellIs" dxfId="330" priority="43" operator="greaterThan">
      <formula>0</formula>
    </cfRule>
  </conditionalFormatting>
  <conditionalFormatting sqref="C2:C3">
    <cfRule type="cellIs" dxfId="329" priority="45" operator="greaterThan">
      <formula>0</formula>
    </cfRule>
  </conditionalFormatting>
  <conditionalFormatting sqref="C2:C3">
    <cfRule type="cellIs" dxfId="328" priority="44" operator="greaterThan">
      <formula>0</formula>
    </cfRule>
  </conditionalFormatting>
  <conditionalFormatting sqref="C10">
    <cfRule type="cellIs" dxfId="327" priority="42" operator="greaterThan">
      <formula>0</formula>
    </cfRule>
  </conditionalFormatting>
  <conditionalFormatting sqref="C10">
    <cfRule type="cellIs" dxfId="326" priority="41" operator="greaterThan">
      <formula>0</formula>
    </cfRule>
  </conditionalFormatting>
  <conditionalFormatting sqref="C10">
    <cfRule type="cellIs" dxfId="325" priority="40" operator="greaterThan">
      <formula>0</formula>
    </cfRule>
  </conditionalFormatting>
  <conditionalFormatting sqref="C10">
    <cfRule type="cellIs" dxfId="324" priority="39" operator="greaterThan">
      <formula>0</formula>
    </cfRule>
  </conditionalFormatting>
  <conditionalFormatting sqref="J3:J15">
    <cfRule type="cellIs" dxfId="323" priority="16" operator="greaterThan">
      <formula>0</formula>
    </cfRule>
    <cfRule type="cellIs" dxfId="322" priority="17" operator="greaterThan">
      <formula>0</formula>
    </cfRule>
  </conditionalFormatting>
  <conditionalFormatting sqref="H10:H12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H10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I3:I4 I6:I8 I10:I15">
    <cfRule type="cellIs" dxfId="321" priority="33" operator="equal">
      <formula>"ДА"</formula>
    </cfRule>
    <cfRule type="cellIs" dxfId="320" priority="34" operator="equal">
      <formula>"НЕТ"</formula>
    </cfRule>
  </conditionalFormatting>
  <conditionalFormatting sqref="I3:I4 I6:I8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319" priority="30" operator="equal">
      <formula>"ДА"</formula>
    </cfRule>
    <cfRule type="cellIs" dxfId="318" priority="31" operator="equal">
      <formula>"НЕТ"</formula>
    </cfRule>
  </conditionalFormatting>
  <conditionalFormatting sqref="I5">
    <cfRule type="cellIs" dxfId="317" priority="27" operator="equal">
      <formula>"ДА"</formula>
    </cfRule>
    <cfRule type="cellIs" dxfId="316" priority="28" operator="equal">
      <formula>"НЕТ"</formula>
    </cfRule>
  </conditionalFormatting>
  <conditionalFormatting sqref="I9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315" priority="23" operator="equal">
      <formula>"ДА"</formula>
    </cfRule>
    <cfRule type="cellIs" dxfId="314" priority="24" operator="equal">
      <formula>"НЕТ"</formula>
    </cfRule>
  </conditionalFormatting>
  <conditionalFormatting sqref="I5">
    <cfRule type="colorScale" priority="2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5">
      <iconSet iconSet="3Symbols">
        <cfvo type="percent" val="0"/>
        <cfvo type="percent" val="33"/>
        <cfvo type="percent" val="67"/>
      </iconSet>
    </cfRule>
    <cfRule type="expression" priority="26">
      <formula>"H71=1"</formula>
    </cfRule>
  </conditionalFormatting>
  <conditionalFormatting sqref="I14">
    <cfRule type="cellIs" dxfId="313" priority="19" operator="equal">
      <formula>"ДА"</formula>
    </cfRule>
    <cfRule type="cellIs" dxfId="312" priority="20" operator="equal">
      <formula>"НЕТ"</formula>
    </cfRule>
  </conditionalFormatting>
  <conditionalFormatting sqref="H14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K3:K15 C21:C36">
    <cfRule type="cellIs" dxfId="311" priority="18" operator="greaterThan">
      <formula>0</formula>
    </cfRule>
  </conditionalFormatting>
  <conditionalFormatting sqref="C2:C16">
    <cfRule type="cellIs" dxfId="310" priority="15" operator="greaterThan">
      <formula>0</formula>
    </cfRule>
  </conditionalFormatting>
  <conditionalFormatting sqref="C38:E38 C41:E53 C56:E56">
    <cfRule type="cellIs" dxfId="309" priority="14" operator="greaterThan">
      <formula>0</formula>
    </cfRule>
  </conditionalFormatting>
  <conditionalFormatting sqref="E57">
    <cfRule type="cellIs" dxfId="308" priority="13" operator="greaterThan">
      <formula>0</formula>
    </cfRule>
  </conditionalFormatting>
  <conditionalFormatting sqref="J3:K15">
    <cfRule type="cellIs" dxfId="307" priority="12" operator="greaterThan">
      <formula>0</formula>
    </cfRule>
  </conditionalFormatting>
  <conditionalFormatting sqref="C21:C36">
    <cfRule type="cellIs" dxfId="306" priority="11" operator="greaterThan">
      <formula>4</formula>
    </cfRule>
  </conditionalFormatting>
  <conditionalFormatting sqref="C41:C53 C38 C56">
    <cfRule type="cellIs" dxfId="305" priority="10" operator="greaterThan">
      <formula>0</formula>
    </cfRule>
  </conditionalFormatting>
  <conditionalFormatting sqref="C39">
    <cfRule type="cellIs" dxfId="304" priority="8" operator="greaterThan">
      <formula>0</formula>
    </cfRule>
  </conditionalFormatting>
  <conditionalFormatting sqref="C40">
    <cfRule type="cellIs" dxfId="303" priority="6" operator="greaterThan">
      <formula>0</formula>
    </cfRule>
  </conditionalFormatting>
  <conditionalFormatting sqref="C39:E39">
    <cfRule type="cellIs" dxfId="302" priority="9" operator="greaterThan">
      <formula>0</formula>
    </cfRule>
  </conditionalFormatting>
  <conditionalFormatting sqref="C37">
    <cfRule type="cellIs" dxfId="301" priority="3" operator="greaterThan">
      <formula>0</formula>
    </cfRule>
  </conditionalFormatting>
  <conditionalFormatting sqref="C40:E40">
    <cfRule type="cellIs" dxfId="300" priority="7" operator="greaterThan">
      <formula>0</formula>
    </cfRule>
  </conditionalFormatting>
  <conditionalFormatting sqref="D37:E37">
    <cfRule type="cellIs" dxfId="299" priority="5" operator="greaterThan">
      <formula>0</formula>
    </cfRule>
  </conditionalFormatting>
  <conditionalFormatting sqref="C37">
    <cfRule type="cellIs" dxfId="298" priority="4" operator="greaterThan">
      <formula>0</formula>
    </cfRule>
  </conditionalFormatting>
  <conditionalFormatting sqref="C17:C18">
    <cfRule type="cellIs" dxfId="297" priority="2" operator="greaterThan">
      <formula>0</formula>
    </cfRule>
  </conditionalFormatting>
  <conditionalFormatting sqref="C54:E55">
    <cfRule type="cellIs" dxfId="296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1:L70"/>
  <sheetViews>
    <sheetView workbookViewId="0">
      <pane ySplit="26" topLeftCell="A51" activePane="bottomLeft" state="frozen"/>
      <selection pane="bottomLeft" activeCell="H63" sqref="H63"/>
    </sheetView>
  </sheetViews>
  <sheetFormatPr defaultRowHeight="11.25"/>
  <cols>
    <col min="1" max="1" width="5.6640625" customWidth="1"/>
    <col min="2" max="2" width="62.6640625" customWidth="1"/>
    <col min="4" max="4" width="11.83203125" customWidth="1"/>
    <col min="5" max="5" width="13" customWidth="1"/>
    <col min="6" max="6" width="20.5" customWidth="1"/>
    <col min="7" max="7" width="5" customWidth="1"/>
    <col min="8" max="8" width="47" customWidth="1"/>
    <col min="9" max="9" width="4.6640625" customWidth="1"/>
  </cols>
  <sheetData>
    <row r="1" spans="1:12" ht="60.75" customHeight="1" thickBot="1">
      <c r="A1" s="408"/>
      <c r="B1" s="1316"/>
      <c r="C1" s="1316"/>
      <c r="D1" s="1316"/>
      <c r="E1" s="1316"/>
      <c r="F1" s="408"/>
      <c r="G1" s="408"/>
      <c r="H1" s="408"/>
      <c r="I1" s="408"/>
      <c r="J1" s="408"/>
      <c r="K1" s="408"/>
      <c r="L1" s="408"/>
    </row>
    <row r="2" spans="1:12" ht="12" customHeight="1" thickBot="1">
      <c r="A2" s="408"/>
      <c r="B2" s="410" t="s">
        <v>551</v>
      </c>
      <c r="C2" s="461">
        <v>0</v>
      </c>
      <c r="D2" s="1238" t="s">
        <v>595</v>
      </c>
      <c r="E2" s="1239"/>
      <c r="F2" s="1240"/>
      <c r="G2" s="442"/>
      <c r="H2" s="412" t="s">
        <v>485</v>
      </c>
      <c r="I2" s="691" t="s">
        <v>604</v>
      </c>
      <c r="J2" s="413" t="s">
        <v>4</v>
      </c>
      <c r="K2" s="414" t="s">
        <v>8</v>
      </c>
      <c r="L2" s="408"/>
    </row>
    <row r="3" spans="1:12" ht="12" customHeight="1">
      <c r="A3" s="408"/>
      <c r="B3" s="420" t="s">
        <v>552</v>
      </c>
      <c r="C3" s="554">
        <v>0</v>
      </c>
      <c r="D3" s="1258"/>
      <c r="E3" s="1244"/>
      <c r="F3" s="1245"/>
      <c r="G3" s="700"/>
      <c r="H3" s="416" t="s">
        <v>489</v>
      </c>
      <c r="I3" s="626" t="str">
        <f>IF(AND($C$12+$C$13+$C$14=1,$C$15+$C$16+$C$17=0,C18=1),"ДА","НЕТ")</f>
        <v>НЕТ</v>
      </c>
      <c r="J3" s="613"/>
      <c r="K3" s="322">
        <f>IF(I3="ДА",$C$18*J3,0)</f>
        <v>0</v>
      </c>
      <c r="L3" s="408"/>
    </row>
    <row r="4" spans="1:12" ht="12" customHeight="1">
      <c r="A4" s="408"/>
      <c r="B4" s="422" t="s">
        <v>553</v>
      </c>
      <c r="C4" s="619">
        <v>0</v>
      </c>
      <c r="D4" s="1258"/>
      <c r="E4" s="1244"/>
      <c r="F4" s="1245"/>
      <c r="G4" s="442"/>
      <c r="H4" s="421" t="s">
        <v>486</v>
      </c>
      <c r="I4" s="627" t="str">
        <f>IF(AND($C$12+$C$13+$C$14=1,$C$15+$C$16+$C$17=0,C18=3),"ДА","НЕТ")</f>
        <v>НЕТ</v>
      </c>
      <c r="J4" s="614"/>
      <c r="K4" s="326">
        <f t="shared" ref="K4:K19" si="0">IF(I4="ДА",$C$18*J4,0)</f>
        <v>0</v>
      </c>
      <c r="L4" s="408"/>
    </row>
    <row r="5" spans="1:12" ht="12" customHeight="1" thickBot="1">
      <c r="A5" s="408"/>
      <c r="B5" s="415" t="s">
        <v>554</v>
      </c>
      <c r="C5" s="462">
        <v>0</v>
      </c>
      <c r="D5" s="1241"/>
      <c r="E5" s="1242"/>
      <c r="F5" s="1243"/>
      <c r="G5" s="700"/>
      <c r="H5" s="421" t="s">
        <v>591</v>
      </c>
      <c r="I5" s="627" t="str">
        <f>IF(AND($C$12+$C$13+$C$14=1,$C$15+$C$16+$C$17=0,C18=3),"ДА","НЕТ")</f>
        <v>НЕТ</v>
      </c>
      <c r="J5" s="614"/>
      <c r="K5" s="326">
        <f t="shared" si="0"/>
        <v>0</v>
      </c>
      <c r="L5" s="408"/>
    </row>
    <row r="6" spans="1:12" ht="12" customHeight="1">
      <c r="A6" s="408"/>
      <c r="B6" s="410" t="s">
        <v>413</v>
      </c>
      <c r="C6" s="610">
        <v>0</v>
      </c>
      <c r="D6" s="1238" t="s">
        <v>597</v>
      </c>
      <c r="E6" s="1239"/>
      <c r="F6" s="1240"/>
      <c r="G6" s="442"/>
      <c r="H6" s="421" t="s">
        <v>487</v>
      </c>
      <c r="I6" s="627" t="str">
        <f>IF(AND($C$12+$C$13+$C$14=1,$C$15+$C$16+$C$17=0,C18=2),"ДА","НЕТ")</f>
        <v>НЕТ</v>
      </c>
      <c r="J6" s="614"/>
      <c r="K6" s="326">
        <f t="shared" si="0"/>
        <v>0</v>
      </c>
      <c r="L6" s="408"/>
    </row>
    <row r="7" spans="1:12" ht="12" customHeight="1">
      <c r="A7" s="408"/>
      <c r="B7" s="420" t="s">
        <v>414</v>
      </c>
      <c r="C7" s="620">
        <v>0</v>
      </c>
      <c r="D7" s="1258"/>
      <c r="E7" s="1244"/>
      <c r="F7" s="1245"/>
      <c r="G7" s="442"/>
      <c r="H7" s="421" t="s">
        <v>488</v>
      </c>
      <c r="I7" s="627" t="str">
        <f>IF(AND($C$12+$C$13+$C$14=1,$C$15+$C$16+$C$17=0,C18=2),"ДА","НЕТ")</f>
        <v>НЕТ</v>
      </c>
      <c r="J7" s="614"/>
      <c r="K7" s="326">
        <f t="shared" si="0"/>
        <v>0</v>
      </c>
      <c r="L7" s="408"/>
    </row>
    <row r="8" spans="1:12" ht="12" customHeight="1">
      <c r="A8" s="408"/>
      <c r="B8" s="420" t="s">
        <v>586</v>
      </c>
      <c r="C8" s="620">
        <v>0</v>
      </c>
      <c r="D8" s="1258"/>
      <c r="E8" s="1244"/>
      <c r="F8" s="1245"/>
      <c r="G8" s="442"/>
      <c r="H8" s="421" t="s">
        <v>494</v>
      </c>
      <c r="I8" s="627" t="str">
        <f>IF(AND($C$12+$C$13+$C$14=1,$C$15+$C$16+$C$17=0,C18=2),"ДА","НЕТ")</f>
        <v>НЕТ</v>
      </c>
      <c r="J8" s="614"/>
      <c r="K8" s="326">
        <f t="shared" si="0"/>
        <v>0</v>
      </c>
      <c r="L8" s="408"/>
    </row>
    <row r="9" spans="1:12" ht="12" customHeight="1">
      <c r="A9" s="408"/>
      <c r="B9" s="422" t="s">
        <v>415</v>
      </c>
      <c r="C9" s="552">
        <v>0</v>
      </c>
      <c r="D9" s="1258"/>
      <c r="E9" s="1244"/>
      <c r="F9" s="1245"/>
      <c r="G9" s="442"/>
      <c r="H9" s="416" t="s">
        <v>590</v>
      </c>
      <c r="I9" s="627" t="str">
        <f>IF(AND($C$12+$C$13+$C$14=1,$C$15+$C$16+$C$17=0,C18=1),"ДА","НЕТ")</f>
        <v>НЕТ</v>
      </c>
      <c r="J9" s="613"/>
      <c r="K9" s="322">
        <f t="shared" si="0"/>
        <v>0</v>
      </c>
      <c r="L9" s="408"/>
    </row>
    <row r="10" spans="1:12" ht="12" customHeight="1">
      <c r="A10" s="408"/>
      <c r="B10" s="420" t="s">
        <v>416</v>
      </c>
      <c r="C10" s="620">
        <v>0</v>
      </c>
      <c r="D10" s="1258"/>
      <c r="E10" s="1244"/>
      <c r="F10" s="1245"/>
      <c r="G10" s="442"/>
      <c r="H10" s="416" t="s">
        <v>383</v>
      </c>
      <c r="I10" s="627" t="str">
        <f>IF(AND($C$12+$C$13+$C$14+$C$17=0,$C$15+$C$16=1,$C$18=1),"ДА","НЕТ")</f>
        <v>НЕТ</v>
      </c>
      <c r="J10" s="615"/>
      <c r="K10" s="329">
        <f t="shared" si="0"/>
        <v>0</v>
      </c>
      <c r="L10" s="408"/>
    </row>
    <row r="11" spans="1:12" ht="12" customHeight="1" thickBot="1">
      <c r="A11" s="408"/>
      <c r="B11" s="443" t="s">
        <v>585</v>
      </c>
      <c r="C11" s="553">
        <v>0</v>
      </c>
      <c r="D11" s="1241"/>
      <c r="E11" s="1242"/>
      <c r="F11" s="1243"/>
      <c r="G11" s="442"/>
      <c r="H11" s="419" t="s">
        <v>384</v>
      </c>
      <c r="I11" s="627" t="str">
        <f>IF(AND($C$12+$C$13+$C$14+$C$17=0,$C$15+$C$16=1,$C$18=1),"ДА","НЕТ")</f>
        <v>НЕТ</v>
      </c>
      <c r="J11" s="615"/>
      <c r="K11" s="329">
        <f t="shared" si="0"/>
        <v>0</v>
      </c>
      <c r="L11" s="408"/>
    </row>
    <row r="12" spans="1:12" ht="12" customHeight="1">
      <c r="A12" s="408"/>
      <c r="B12" s="422" t="s">
        <v>498</v>
      </c>
      <c r="C12" s="465">
        <v>0</v>
      </c>
      <c r="D12" s="425" t="s">
        <v>287</v>
      </c>
      <c r="E12" s="426" t="s">
        <v>255</v>
      </c>
      <c r="F12" s="1247" t="s">
        <v>597</v>
      </c>
      <c r="G12" s="442"/>
      <c r="H12" s="419" t="s">
        <v>385</v>
      </c>
      <c r="I12" s="627" t="str">
        <f>IF(AND($C$12+$C$13+$C$14+$C$17=0,$C$15+$C$16=1,$C$18=1),"ДА","НЕТ")</f>
        <v>НЕТ</v>
      </c>
      <c r="J12" s="616"/>
      <c r="K12" s="329">
        <f t="shared" si="0"/>
        <v>0</v>
      </c>
      <c r="L12" s="408"/>
    </row>
    <row r="13" spans="1:12" ht="12" customHeight="1">
      <c r="A13" s="408"/>
      <c r="B13" s="420" t="s">
        <v>499</v>
      </c>
      <c r="C13" s="464">
        <v>0</v>
      </c>
      <c r="D13" s="427" t="s">
        <v>287</v>
      </c>
      <c r="E13" s="428" t="s">
        <v>255</v>
      </c>
      <c r="F13" s="1247"/>
      <c r="G13" s="442"/>
      <c r="H13" s="419" t="s">
        <v>592</v>
      </c>
      <c r="I13" s="627" t="str">
        <f>IF(AND($C$12+$C$13+C14+$C$15+$C$16=0,$C$17=1,$C$18=1),"ДА","НЕТ")</f>
        <v>НЕТ</v>
      </c>
      <c r="J13" s="616"/>
      <c r="K13" s="329">
        <f t="shared" si="0"/>
        <v>0</v>
      </c>
      <c r="L13" s="408"/>
    </row>
    <row r="14" spans="1:12" ht="12" customHeight="1">
      <c r="A14" s="408"/>
      <c r="B14" s="420" t="s">
        <v>587</v>
      </c>
      <c r="C14" s="464">
        <v>0</v>
      </c>
      <c r="D14" s="427" t="s">
        <v>287</v>
      </c>
      <c r="E14" s="427" t="s">
        <v>255</v>
      </c>
      <c r="F14" s="1247"/>
      <c r="G14" s="442"/>
      <c r="H14" s="419" t="s">
        <v>592</v>
      </c>
      <c r="I14" s="627" t="str">
        <f>IF(AND($C$12+$C$13+C14+$C$15+$C$16=0,$C$17=1,$C$18=1),"ДА","НЕТ")</f>
        <v>НЕТ</v>
      </c>
      <c r="J14" s="616"/>
      <c r="K14" s="329">
        <f t="shared" si="0"/>
        <v>0</v>
      </c>
      <c r="L14" s="408"/>
    </row>
    <row r="15" spans="1:12" ht="12" customHeight="1">
      <c r="A15" s="408"/>
      <c r="B15" s="422" t="s">
        <v>500</v>
      </c>
      <c r="C15" s="465">
        <v>0</v>
      </c>
      <c r="D15" s="425" t="s">
        <v>287</v>
      </c>
      <c r="E15" s="426" t="s">
        <v>255</v>
      </c>
      <c r="F15" s="1247"/>
      <c r="G15" s="442"/>
      <c r="H15" s="416" t="s">
        <v>388</v>
      </c>
      <c r="I15" s="627" t="str">
        <f>IF(AND($C$12+$C$13+$C$14+$C$17=0,$C$15+$C$16=1,$C$18=2),"ДА","НЕТ")</f>
        <v>НЕТ</v>
      </c>
      <c r="J15" s="615"/>
      <c r="K15" s="329">
        <f t="shared" si="0"/>
        <v>0</v>
      </c>
      <c r="L15" s="408"/>
    </row>
    <row r="16" spans="1:12" ht="12" customHeight="1">
      <c r="A16" s="408"/>
      <c r="B16" s="420" t="s">
        <v>501</v>
      </c>
      <c r="C16" s="464">
        <v>0</v>
      </c>
      <c r="D16" s="427" t="s">
        <v>287</v>
      </c>
      <c r="E16" s="428" t="s">
        <v>255</v>
      </c>
      <c r="F16" s="1247"/>
      <c r="G16" s="442"/>
      <c r="H16" s="419" t="s">
        <v>389</v>
      </c>
      <c r="I16" s="627" t="str">
        <f>IF(AND($C$12+$C$13+$C$14+$C$17=0,$C$15+$C$16=1,$C$18=2),"ДА","НЕТ")</f>
        <v>НЕТ</v>
      </c>
      <c r="J16" s="615"/>
      <c r="K16" s="329">
        <f t="shared" si="0"/>
        <v>0</v>
      </c>
      <c r="L16" s="408"/>
    </row>
    <row r="17" spans="1:12" ht="12" customHeight="1" thickBot="1">
      <c r="A17" s="408"/>
      <c r="B17" s="517" t="s">
        <v>588</v>
      </c>
      <c r="C17" s="516">
        <v>0</v>
      </c>
      <c r="D17" s="629" t="s">
        <v>287</v>
      </c>
      <c r="E17" s="519" t="s">
        <v>255</v>
      </c>
      <c r="F17" s="1247"/>
      <c r="G17" s="442"/>
      <c r="H17" s="419" t="s">
        <v>390</v>
      </c>
      <c r="I17" s="627" t="str">
        <f>IF(AND($C$12+$C$13+$C$14+$C$17=0,$C$15+$C$16=1,$C$18=2),"ДА","НЕТ")</f>
        <v>НЕТ</v>
      </c>
      <c r="J17" s="615"/>
      <c r="K17" s="326">
        <f t="shared" si="0"/>
        <v>0</v>
      </c>
      <c r="L17" s="408"/>
    </row>
    <row r="18" spans="1:12" ht="12" customHeight="1" thickBot="1">
      <c r="A18" s="408"/>
      <c r="B18" s="432" t="s">
        <v>589</v>
      </c>
      <c r="C18" s="551">
        <v>0</v>
      </c>
      <c r="D18" s="436" t="s">
        <v>619</v>
      </c>
      <c r="E18" s="437" t="s">
        <v>620</v>
      </c>
      <c r="F18" s="439" t="s">
        <v>621</v>
      </c>
      <c r="G18" s="442"/>
      <c r="H18" s="416" t="s">
        <v>593</v>
      </c>
      <c r="I18" s="626" t="str">
        <f>IF(AND($C$12+$C$13+C14+$C$15+$C$16=0,$C$17=1,$C$18=2),"ДА","НЕТ")</f>
        <v>НЕТ</v>
      </c>
      <c r="J18" s="617"/>
      <c r="K18" s="333">
        <f t="shared" si="0"/>
        <v>0</v>
      </c>
      <c r="L18" s="408"/>
    </row>
    <row r="19" spans="1:12" ht="12" customHeight="1" thickBot="1">
      <c r="A19" s="408"/>
      <c r="B19" s="422" t="s">
        <v>361</v>
      </c>
      <c r="C19" s="465">
        <v>0</v>
      </c>
      <c r="D19" s="425" t="s">
        <v>287</v>
      </c>
      <c r="E19" s="426" t="s">
        <v>255</v>
      </c>
      <c r="F19" s="1247" t="s">
        <v>597</v>
      </c>
      <c r="G19" s="442"/>
      <c r="H19" s="440" t="s">
        <v>594</v>
      </c>
      <c r="I19" s="637" t="str">
        <f>IF(AND($C$12+$C$13+C14+$C$15+$C$16=0,$C$17=1,$C$18=2),"ДА","НЕТ")</f>
        <v>НЕТ</v>
      </c>
      <c r="J19" s="618"/>
      <c r="K19" s="336">
        <f t="shared" si="0"/>
        <v>0</v>
      </c>
      <c r="L19" s="408"/>
    </row>
    <row r="20" spans="1:12" ht="12" customHeight="1">
      <c r="A20" s="408"/>
      <c r="B20" s="422" t="s">
        <v>466</v>
      </c>
      <c r="C20" s="465">
        <v>0</v>
      </c>
      <c r="D20" s="425" t="s">
        <v>287</v>
      </c>
      <c r="E20" s="426" t="s">
        <v>255</v>
      </c>
      <c r="F20" s="1247"/>
      <c r="G20" s="442"/>
      <c r="H20" s="442"/>
      <c r="I20" s="442"/>
      <c r="J20" s="442"/>
      <c r="K20" s="442"/>
      <c r="L20" s="408"/>
    </row>
    <row r="21" spans="1:12" ht="12" customHeight="1">
      <c r="A21" s="408"/>
      <c r="B21" s="420" t="s">
        <v>362</v>
      </c>
      <c r="C21" s="464">
        <v>0</v>
      </c>
      <c r="D21" s="427" t="s">
        <v>287</v>
      </c>
      <c r="E21" s="428" t="s">
        <v>255</v>
      </c>
      <c r="F21" s="1247"/>
      <c r="G21" s="442"/>
      <c r="H21" s="442"/>
      <c r="I21" s="442"/>
      <c r="J21" s="442"/>
      <c r="K21" s="442"/>
      <c r="L21" s="408"/>
    </row>
    <row r="22" spans="1:12" ht="12" customHeight="1" thickBot="1">
      <c r="A22" s="408"/>
      <c r="B22" s="415" t="s">
        <v>467</v>
      </c>
      <c r="C22" s="466">
        <v>0</v>
      </c>
      <c r="D22" s="430" t="s">
        <v>287</v>
      </c>
      <c r="E22" s="431" t="s">
        <v>255</v>
      </c>
      <c r="F22" s="1248"/>
      <c r="G22" s="442"/>
      <c r="H22" s="442"/>
      <c r="I22" s="442"/>
      <c r="J22" s="442"/>
      <c r="K22" s="442"/>
      <c r="L22" s="408"/>
    </row>
    <row r="23" spans="1:12" ht="12" customHeight="1">
      <c r="A23" s="408"/>
      <c r="B23" s="410" t="s">
        <v>147</v>
      </c>
      <c r="C23" s="467">
        <v>0</v>
      </c>
      <c r="D23" s="1249" t="s">
        <v>686</v>
      </c>
      <c r="E23" s="1250"/>
      <c r="F23" s="1251"/>
      <c r="G23" s="442"/>
      <c r="H23" s="442"/>
      <c r="I23" s="442"/>
      <c r="J23" s="442"/>
      <c r="K23" s="442"/>
      <c r="L23" s="408"/>
    </row>
    <row r="24" spans="1:12" ht="12" customHeight="1" thickBot="1">
      <c r="A24" s="408"/>
      <c r="B24" s="415" t="s">
        <v>146</v>
      </c>
      <c r="C24" s="466">
        <v>0</v>
      </c>
      <c r="D24" s="1255" t="s">
        <v>687</v>
      </c>
      <c r="E24" s="1256"/>
      <c r="F24" s="1257"/>
      <c r="G24" s="442"/>
      <c r="H24" s="442"/>
      <c r="I24" s="442"/>
      <c r="J24" s="442"/>
      <c r="K24" s="442"/>
      <c r="L24" s="408"/>
    </row>
    <row r="25" spans="1:12" ht="12" customHeight="1" thickBot="1">
      <c r="A25" s="408"/>
      <c r="B25" s="1235"/>
      <c r="C25" s="1235"/>
      <c r="D25" s="1235"/>
      <c r="E25" s="1235"/>
      <c r="F25" s="442"/>
      <c r="G25" s="442"/>
      <c r="H25" s="442"/>
      <c r="I25" s="442"/>
      <c r="J25" s="442"/>
      <c r="K25" s="442"/>
      <c r="L25" s="408"/>
    </row>
    <row r="26" spans="1:12" ht="12" customHeight="1">
      <c r="A26" s="408"/>
      <c r="B26" s="447" t="s">
        <v>5</v>
      </c>
      <c r="C26" s="448" t="s">
        <v>0</v>
      </c>
      <c r="D26" s="634" t="s">
        <v>4</v>
      </c>
      <c r="E26" s="450" t="s">
        <v>8</v>
      </c>
      <c r="F26" s="442"/>
      <c r="G26" s="442"/>
      <c r="H26" s="442"/>
      <c r="I26" s="442"/>
      <c r="J26" s="442"/>
      <c r="K26" s="442"/>
      <c r="L26" s="408"/>
    </row>
    <row r="27" spans="1:12" ht="12" customHeight="1">
      <c r="A27" s="408"/>
      <c r="B27" s="452" t="s">
        <v>563</v>
      </c>
      <c r="C27" s="345">
        <f>C22*(C6+C7+C8+C9+C10+C11)*2</f>
        <v>0</v>
      </c>
      <c r="D27" s="346"/>
      <c r="E27" s="347">
        <f t="shared" ref="E27:E61" si="1">C27*D27</f>
        <v>0</v>
      </c>
      <c r="F27" s="442"/>
      <c r="G27" s="442"/>
      <c r="H27" s="442"/>
      <c r="I27" s="442"/>
      <c r="J27" s="442"/>
      <c r="K27" s="442"/>
      <c r="L27" s="408"/>
    </row>
    <row r="28" spans="1:12" ht="12" customHeight="1">
      <c r="A28" s="408"/>
      <c r="B28" s="452" t="s">
        <v>564</v>
      </c>
      <c r="C28" s="345">
        <f>C20*(C6+C7+C8+C9+C10+C11)*2</f>
        <v>0</v>
      </c>
      <c r="D28" s="346"/>
      <c r="E28" s="347">
        <f t="shared" si="1"/>
        <v>0</v>
      </c>
      <c r="F28" s="442"/>
      <c r="G28" s="442"/>
      <c r="H28" s="442"/>
      <c r="I28" s="442"/>
      <c r="J28" s="442"/>
      <c r="K28" s="442"/>
      <c r="L28" s="408"/>
    </row>
    <row r="29" spans="1:12" ht="12" customHeight="1">
      <c r="A29" s="408"/>
      <c r="B29" s="452" t="s">
        <v>117</v>
      </c>
      <c r="C29" s="345">
        <f>(C19+C21)*4*(C6+C7+C8+C9+C10+C11)</f>
        <v>0</v>
      </c>
      <c r="D29" s="346"/>
      <c r="E29" s="347">
        <f t="shared" si="1"/>
        <v>0</v>
      </c>
      <c r="F29" s="442"/>
      <c r="G29" s="442"/>
      <c r="H29" s="442"/>
      <c r="I29" s="442"/>
      <c r="J29" s="442"/>
      <c r="K29" s="442"/>
      <c r="L29" s="408"/>
    </row>
    <row r="30" spans="1:12" ht="12" customHeight="1">
      <c r="A30" s="408"/>
      <c r="B30" s="454" t="s">
        <v>641</v>
      </c>
      <c r="C30" s="350">
        <f>EVEN(ROUNDDOWN(IF(AND(C9+C10+C11&gt;0.9,C6+C7+C8=0),(C9+C10+C11)*C2/0.5,0),0))</f>
        <v>0</v>
      </c>
      <c r="D30" s="351"/>
      <c r="E30" s="347">
        <f t="shared" si="1"/>
        <v>0</v>
      </c>
      <c r="F30" s="444"/>
      <c r="G30" s="442"/>
      <c r="H30" s="442"/>
      <c r="I30" s="442"/>
      <c r="J30" s="442"/>
      <c r="K30" s="442"/>
      <c r="L30" s="408"/>
    </row>
    <row r="31" spans="1:12" ht="12" customHeight="1">
      <c r="A31" s="408"/>
      <c r="B31" s="454" t="s">
        <v>555</v>
      </c>
      <c r="C31" s="350">
        <f>C6+C7+C8+C9+C10+C11</f>
        <v>0</v>
      </c>
      <c r="D31" s="351"/>
      <c r="E31" s="347">
        <f>C31*D31</f>
        <v>0</v>
      </c>
      <c r="F31" s="446"/>
      <c r="G31" s="442"/>
      <c r="H31" s="442"/>
      <c r="I31" s="442"/>
      <c r="J31" s="442"/>
      <c r="K31" s="442"/>
      <c r="L31" s="408"/>
    </row>
    <row r="32" spans="1:12" ht="12" customHeight="1">
      <c r="A32" s="408"/>
      <c r="B32" s="454" t="s">
        <v>420</v>
      </c>
      <c r="C32" s="350">
        <f>(C6+C7+C8+C9+C10+C11)*2</f>
        <v>0</v>
      </c>
      <c r="D32" s="351"/>
      <c r="E32" s="347">
        <f>C32*D32</f>
        <v>0</v>
      </c>
      <c r="F32" s="446"/>
      <c r="G32" s="442"/>
      <c r="H32" s="442"/>
      <c r="I32" s="442"/>
      <c r="J32" s="442"/>
      <c r="K32" s="442"/>
      <c r="L32" s="408"/>
    </row>
    <row r="33" spans="1:12" ht="12" customHeight="1">
      <c r="A33" s="408"/>
      <c r="B33" s="452" t="s">
        <v>642</v>
      </c>
      <c r="C33" s="353">
        <f>(C6+C7+C8)*2</f>
        <v>0</v>
      </c>
      <c r="D33" s="354"/>
      <c r="E33" s="347">
        <f t="shared" si="1"/>
        <v>0</v>
      </c>
      <c r="F33" s="442"/>
      <c r="G33" s="442"/>
      <c r="H33" s="442"/>
      <c r="I33" s="442"/>
      <c r="J33" s="442"/>
      <c r="K33" s="442"/>
      <c r="L33" s="408"/>
    </row>
    <row r="34" spans="1:12" ht="12" customHeight="1">
      <c r="A34" s="408"/>
      <c r="B34" s="454" t="s">
        <v>643</v>
      </c>
      <c r="C34" s="353">
        <f>IF(C6+C7+C8=0,(C9+C10+C11)*2,0)</f>
        <v>0</v>
      </c>
      <c r="D34" s="354"/>
      <c r="E34" s="347">
        <f t="shared" si="1"/>
        <v>0</v>
      </c>
      <c r="F34" s="442"/>
      <c r="G34" s="442"/>
      <c r="H34" s="442"/>
      <c r="I34" s="442"/>
      <c r="J34" s="442"/>
      <c r="K34" s="442"/>
      <c r="L34" s="408"/>
    </row>
    <row r="35" spans="1:12" ht="12" customHeight="1">
      <c r="A35" s="408"/>
      <c r="B35" s="454" t="s">
        <v>432</v>
      </c>
      <c r="C35" s="345">
        <f>(C6+C9)*2</f>
        <v>0</v>
      </c>
      <c r="D35" s="346"/>
      <c r="E35" s="347">
        <f t="shared" si="1"/>
        <v>0</v>
      </c>
      <c r="F35" s="442"/>
      <c r="G35" s="442"/>
      <c r="H35" s="442"/>
      <c r="I35" s="442"/>
      <c r="J35" s="442"/>
      <c r="K35" s="442"/>
      <c r="L35" s="408"/>
    </row>
    <row r="36" spans="1:12" ht="12" customHeight="1">
      <c r="A36" s="408"/>
      <c r="B36" s="454" t="s">
        <v>433</v>
      </c>
      <c r="C36" s="350">
        <f>(C6+C9)*2</f>
        <v>0</v>
      </c>
      <c r="D36" s="351"/>
      <c r="E36" s="347">
        <f t="shared" si="1"/>
        <v>0</v>
      </c>
      <c r="F36" s="442"/>
      <c r="G36" s="442"/>
      <c r="H36" s="442"/>
      <c r="I36" s="442"/>
      <c r="J36" s="442"/>
      <c r="K36" s="442"/>
      <c r="L36" s="408"/>
    </row>
    <row r="37" spans="1:12" ht="12" customHeight="1">
      <c r="A37" s="408"/>
      <c r="B37" s="454" t="s">
        <v>600</v>
      </c>
      <c r="C37" s="350">
        <f>(C8+C11)*2</f>
        <v>0</v>
      </c>
      <c r="D37" s="351"/>
      <c r="E37" s="347">
        <f>C37*D37</f>
        <v>0</v>
      </c>
      <c r="F37" s="442"/>
      <c r="G37" s="442"/>
      <c r="H37" s="442"/>
      <c r="I37" s="442"/>
      <c r="J37" s="442"/>
      <c r="K37" s="442"/>
      <c r="L37" s="408"/>
    </row>
    <row r="38" spans="1:12" ht="12" customHeight="1">
      <c r="A38" s="408"/>
      <c r="B38" s="454" t="s">
        <v>434</v>
      </c>
      <c r="C38" s="350">
        <f>(C7+C10+C8+C11)*2</f>
        <v>0</v>
      </c>
      <c r="D38" s="351"/>
      <c r="E38" s="347">
        <f t="shared" si="1"/>
        <v>0</v>
      </c>
      <c r="F38" s="442"/>
      <c r="G38" s="442"/>
      <c r="H38" s="442"/>
      <c r="I38" s="442"/>
      <c r="J38" s="442"/>
      <c r="K38" s="442"/>
      <c r="L38" s="408"/>
    </row>
    <row r="39" spans="1:12" ht="12" customHeight="1">
      <c r="A39" s="408"/>
      <c r="B39" s="454" t="s">
        <v>644</v>
      </c>
      <c r="C39" s="350">
        <f>(C9+C10+C11)*3</f>
        <v>0</v>
      </c>
      <c r="D39" s="351"/>
      <c r="E39" s="347">
        <f t="shared" si="1"/>
        <v>0</v>
      </c>
      <c r="F39" s="442"/>
      <c r="G39" s="442"/>
      <c r="H39" s="442"/>
      <c r="I39" s="442"/>
      <c r="J39" s="442"/>
      <c r="K39" s="442"/>
      <c r="L39" s="408"/>
    </row>
    <row r="40" spans="1:12" ht="12" customHeight="1">
      <c r="A40" s="408"/>
      <c r="B40" s="454" t="s">
        <v>474</v>
      </c>
      <c r="C40" s="350">
        <f>C22*(C2+C4)*(C6+C7+C8+C9+C10+C11)</f>
        <v>0</v>
      </c>
      <c r="D40" s="351"/>
      <c r="E40" s="347">
        <f>C40*D40</f>
        <v>0</v>
      </c>
      <c r="F40" s="442"/>
      <c r="G40" s="442"/>
      <c r="H40" s="442"/>
      <c r="I40" s="442"/>
      <c r="J40" s="442"/>
      <c r="K40" s="442"/>
      <c r="L40" s="408"/>
    </row>
    <row r="41" spans="1:12" ht="12" customHeight="1">
      <c r="A41" s="408"/>
      <c r="B41" s="452" t="s">
        <v>474</v>
      </c>
      <c r="C41" s="350">
        <f>(C2+C4)*(C6+C7+C8+C9+C10+C11)</f>
        <v>0</v>
      </c>
      <c r="D41" s="351"/>
      <c r="E41" s="347">
        <f t="shared" si="1"/>
        <v>0</v>
      </c>
      <c r="F41" s="442"/>
      <c r="G41" s="442"/>
      <c r="H41" s="442"/>
      <c r="I41" s="442"/>
      <c r="J41" s="442"/>
      <c r="K41" s="442"/>
      <c r="L41" s="408"/>
    </row>
    <row r="42" spans="1:12" ht="12" customHeight="1">
      <c r="A42" s="408"/>
      <c r="B42" s="454" t="s">
        <v>363</v>
      </c>
      <c r="C42" s="350">
        <f>C21*2*(C2+C4)*(C6+C7+C8+C9+C10+C11)</f>
        <v>0</v>
      </c>
      <c r="D42" s="351"/>
      <c r="E42" s="347">
        <f t="shared" si="1"/>
        <v>0</v>
      </c>
      <c r="F42" s="442"/>
      <c r="G42" s="442"/>
      <c r="H42" s="442"/>
      <c r="I42" s="442"/>
      <c r="J42" s="442"/>
      <c r="K42" s="442"/>
      <c r="L42" s="408"/>
    </row>
    <row r="43" spans="1:12" ht="12" customHeight="1">
      <c r="A43" s="408"/>
      <c r="B43" s="454" t="s">
        <v>477</v>
      </c>
      <c r="C43" s="350">
        <f>C20*(C2+C4)*(C6+C7+C8+C9+C10+C11)</f>
        <v>0</v>
      </c>
      <c r="D43" s="356"/>
      <c r="E43" s="347">
        <f t="shared" si="1"/>
        <v>0</v>
      </c>
      <c r="F43" s="442"/>
      <c r="G43" s="442"/>
      <c r="H43" s="442"/>
      <c r="I43" s="442"/>
      <c r="J43" s="442"/>
      <c r="K43" s="442"/>
      <c r="L43" s="408"/>
    </row>
    <row r="44" spans="1:12" ht="12" customHeight="1">
      <c r="A44" s="408"/>
      <c r="B44" s="454" t="s">
        <v>467</v>
      </c>
      <c r="C44" s="350">
        <f>C22*(C2+C4)*(C6+C7+C8+C9+C10+C11)</f>
        <v>0</v>
      </c>
      <c r="D44" s="351"/>
      <c r="E44" s="347">
        <f t="shared" si="1"/>
        <v>0</v>
      </c>
      <c r="F44" s="442"/>
      <c r="G44" s="442"/>
      <c r="H44" s="442"/>
      <c r="I44" s="442"/>
      <c r="J44" s="442"/>
      <c r="K44" s="442"/>
      <c r="L44" s="408"/>
    </row>
    <row r="45" spans="1:12" ht="12" customHeight="1">
      <c r="A45" s="408"/>
      <c r="B45" s="454" t="s">
        <v>645</v>
      </c>
      <c r="C45" s="350">
        <f>C20*(C2+C4)*(C6+C7+C8+C9+C10+C11)</f>
        <v>0</v>
      </c>
      <c r="D45" s="351"/>
      <c r="E45" s="347">
        <f t="shared" si="1"/>
        <v>0</v>
      </c>
      <c r="F45" s="442"/>
      <c r="G45" s="442"/>
      <c r="H45" s="442"/>
      <c r="I45" s="442"/>
      <c r="J45" s="442"/>
      <c r="K45" s="442"/>
      <c r="L45" s="408"/>
    </row>
    <row r="46" spans="1:12" ht="12" customHeight="1">
      <c r="A46" s="408"/>
      <c r="B46" s="454" t="s">
        <v>364</v>
      </c>
      <c r="C46" s="350">
        <f>C19*(C2+C4)*(C6+C7+C8+C9+C10+C11)</f>
        <v>0</v>
      </c>
      <c r="D46" s="351"/>
      <c r="E46" s="347">
        <f t="shared" si="1"/>
        <v>0</v>
      </c>
      <c r="F46" s="442"/>
      <c r="G46" s="442"/>
      <c r="H46" s="442"/>
      <c r="I46" s="442"/>
      <c r="J46" s="442"/>
      <c r="K46" s="442"/>
      <c r="L46" s="408"/>
    </row>
    <row r="47" spans="1:12" ht="12" customHeight="1">
      <c r="A47" s="408"/>
      <c r="B47" s="454" t="s">
        <v>365</v>
      </c>
      <c r="C47" s="357">
        <f>C21*(C2+C4)*(C6+C7+C8+C9+C10+C11)</f>
        <v>0</v>
      </c>
      <c r="D47" s="351"/>
      <c r="E47" s="347">
        <f t="shared" si="1"/>
        <v>0</v>
      </c>
      <c r="F47" s="442"/>
      <c r="G47" s="442"/>
      <c r="H47" s="442"/>
      <c r="I47" s="442"/>
      <c r="J47" s="442"/>
      <c r="K47" s="442"/>
      <c r="L47" s="408"/>
    </row>
    <row r="48" spans="1:12" ht="12" customHeight="1">
      <c r="A48" s="408"/>
      <c r="B48" s="452" t="s">
        <v>461</v>
      </c>
      <c r="C48" s="357">
        <f>(C6+C9)*(C2+C4)</f>
        <v>0</v>
      </c>
      <c r="D48" s="351"/>
      <c r="E48" s="347">
        <f t="shared" si="1"/>
        <v>0</v>
      </c>
      <c r="F48" s="442"/>
      <c r="G48" s="442"/>
      <c r="H48" s="442"/>
      <c r="I48" s="442"/>
      <c r="J48" s="442"/>
      <c r="K48" s="442"/>
      <c r="L48" s="408"/>
    </row>
    <row r="49" spans="1:12" ht="12" customHeight="1">
      <c r="A49" s="408"/>
      <c r="B49" s="452" t="s">
        <v>462</v>
      </c>
      <c r="C49" s="357">
        <f>(C7+C10)*(C2+C4)</f>
        <v>0</v>
      </c>
      <c r="D49" s="351"/>
      <c r="E49" s="347">
        <f t="shared" si="1"/>
        <v>0</v>
      </c>
      <c r="F49" s="446"/>
      <c r="G49" s="442"/>
      <c r="H49" s="442"/>
      <c r="I49" s="442"/>
      <c r="J49" s="442"/>
      <c r="K49" s="442"/>
      <c r="L49" s="408"/>
    </row>
    <row r="50" spans="1:12" ht="12" customHeight="1">
      <c r="A50" s="408"/>
      <c r="B50" s="452" t="s">
        <v>601</v>
      </c>
      <c r="C50" s="357">
        <f>(C8+C11)*(C2+C4)</f>
        <v>0</v>
      </c>
      <c r="D50" s="351"/>
      <c r="E50" s="347">
        <f>C50*D50</f>
        <v>0</v>
      </c>
      <c r="F50" s="446"/>
      <c r="G50" s="442"/>
      <c r="H50" s="442"/>
      <c r="I50" s="442"/>
      <c r="J50" s="442"/>
      <c r="K50" s="442"/>
      <c r="L50" s="408"/>
    </row>
    <row r="51" spans="1:12" ht="12" customHeight="1">
      <c r="A51" s="408"/>
      <c r="B51" s="452" t="s">
        <v>422</v>
      </c>
      <c r="C51" s="357">
        <f>IF(C6+C7+C8=0,(C9+C10+C11)*(C2+C4),0)</f>
        <v>0</v>
      </c>
      <c r="D51" s="351">
        <v>1</v>
      </c>
      <c r="E51" s="347">
        <f t="shared" si="1"/>
        <v>0</v>
      </c>
      <c r="F51" s="442"/>
      <c r="G51" s="442"/>
      <c r="H51" s="442"/>
      <c r="I51" s="442"/>
      <c r="J51" s="442"/>
      <c r="K51" s="442"/>
      <c r="L51" s="408"/>
    </row>
    <row r="52" spans="1:12" ht="12" customHeight="1">
      <c r="A52" s="408"/>
      <c r="B52" s="454" t="s">
        <v>647</v>
      </c>
      <c r="C52" s="357">
        <f>(C6+C7+C8+C9+C10+C11)*2</f>
        <v>0</v>
      </c>
      <c r="D52" s="351"/>
      <c r="E52" s="347">
        <f t="shared" si="1"/>
        <v>0</v>
      </c>
      <c r="F52" s="442"/>
      <c r="G52" s="442"/>
      <c r="H52" s="442"/>
      <c r="I52" s="442"/>
      <c r="J52" s="442"/>
      <c r="K52" s="442"/>
      <c r="L52" s="408"/>
    </row>
    <row r="53" spans="1:12" ht="12" customHeight="1">
      <c r="A53" s="408"/>
      <c r="B53" s="454" t="s">
        <v>424</v>
      </c>
      <c r="C53" s="357">
        <f>(C9+C10+C11)*6</f>
        <v>0</v>
      </c>
      <c r="D53" s="351"/>
      <c r="E53" s="347">
        <f t="shared" si="1"/>
        <v>0</v>
      </c>
      <c r="F53" s="442"/>
      <c r="G53" s="442"/>
      <c r="H53" s="442"/>
      <c r="I53" s="442"/>
      <c r="J53" s="442"/>
      <c r="K53" s="442"/>
      <c r="L53" s="408"/>
    </row>
    <row r="54" spans="1:12" ht="12" customHeight="1">
      <c r="A54" s="408"/>
      <c r="B54" s="455" t="s">
        <v>602</v>
      </c>
      <c r="C54" s="357">
        <f>C14*(C8+C11)*2</f>
        <v>0</v>
      </c>
      <c r="D54" s="351"/>
      <c r="E54" s="347">
        <f t="shared" si="1"/>
        <v>0</v>
      </c>
      <c r="F54" s="442"/>
      <c r="G54" s="442"/>
      <c r="H54" s="442"/>
      <c r="I54" s="442"/>
      <c r="J54" s="442"/>
      <c r="K54" s="442"/>
      <c r="L54" s="408"/>
    </row>
    <row r="55" spans="1:12" ht="12" customHeight="1">
      <c r="A55" s="408"/>
      <c r="B55" s="455" t="s">
        <v>603</v>
      </c>
      <c r="C55" s="357">
        <f>C17*(C8+C11)*2</f>
        <v>0</v>
      </c>
      <c r="D55" s="351"/>
      <c r="E55" s="347">
        <f t="shared" si="1"/>
        <v>0</v>
      </c>
      <c r="F55" s="442"/>
      <c r="G55" s="442"/>
      <c r="H55" s="442"/>
      <c r="I55" s="442"/>
      <c r="J55" s="442"/>
      <c r="K55" s="442"/>
      <c r="L55" s="408"/>
    </row>
    <row r="56" spans="1:12" ht="12" customHeight="1">
      <c r="A56" s="408"/>
      <c r="B56" s="455" t="s">
        <v>378</v>
      </c>
      <c r="C56" s="357">
        <f>C12*(C6+C9)*2</f>
        <v>0</v>
      </c>
      <c r="D56" s="356"/>
      <c r="E56" s="347">
        <f t="shared" si="1"/>
        <v>0</v>
      </c>
      <c r="F56" s="456"/>
      <c r="G56" s="442"/>
      <c r="H56" s="442"/>
      <c r="I56" s="442"/>
      <c r="J56" s="442"/>
      <c r="K56" s="442"/>
      <c r="L56" s="408"/>
    </row>
    <row r="57" spans="1:12" ht="12" customHeight="1">
      <c r="A57" s="408"/>
      <c r="B57" s="455" t="s">
        <v>598</v>
      </c>
      <c r="C57" s="357">
        <f>C15*(C6+C9)*2</f>
        <v>0</v>
      </c>
      <c r="D57" s="356"/>
      <c r="E57" s="347">
        <f t="shared" si="1"/>
        <v>0</v>
      </c>
      <c r="F57" s="704"/>
      <c r="G57" s="442"/>
      <c r="H57" s="442"/>
      <c r="I57" s="442"/>
      <c r="J57" s="442"/>
      <c r="K57" s="442"/>
      <c r="L57" s="408"/>
    </row>
    <row r="58" spans="1:12" ht="12" customHeight="1">
      <c r="A58" s="408"/>
      <c r="B58" s="455" t="s">
        <v>436</v>
      </c>
      <c r="C58" s="357">
        <f>C13*(C7+C10)*2</f>
        <v>0</v>
      </c>
      <c r="D58" s="351"/>
      <c r="E58" s="347">
        <f t="shared" si="1"/>
        <v>0</v>
      </c>
      <c r="F58" s="650"/>
      <c r="G58" s="442"/>
      <c r="H58" s="442"/>
      <c r="I58" s="442"/>
      <c r="J58" s="442"/>
      <c r="K58" s="442"/>
      <c r="L58" s="408"/>
    </row>
    <row r="59" spans="1:12" ht="12" customHeight="1">
      <c r="A59" s="408"/>
      <c r="B59" s="528" t="s">
        <v>145</v>
      </c>
      <c r="C59" s="509">
        <f>C24</f>
        <v>0</v>
      </c>
      <c r="D59" s="525"/>
      <c r="E59" s="403">
        <f t="shared" si="1"/>
        <v>0</v>
      </c>
      <c r="F59" s="650"/>
      <c r="G59" s="442"/>
      <c r="H59" s="442"/>
      <c r="I59" s="442"/>
      <c r="J59" s="442"/>
      <c r="K59" s="442"/>
      <c r="L59" s="408"/>
    </row>
    <row r="60" spans="1:12" ht="12" customHeight="1">
      <c r="A60" s="408"/>
      <c r="B60" s="528" t="s">
        <v>148</v>
      </c>
      <c r="C60" s="509">
        <f>C23</f>
        <v>0</v>
      </c>
      <c r="D60" s="525"/>
      <c r="E60" s="403">
        <f t="shared" si="1"/>
        <v>0</v>
      </c>
      <c r="F60" s="650"/>
      <c r="G60" s="442"/>
      <c r="H60" s="442"/>
      <c r="I60" s="442"/>
      <c r="J60" s="442"/>
      <c r="K60" s="442"/>
      <c r="L60" s="408"/>
    </row>
    <row r="61" spans="1:12" ht="12" customHeight="1" thickBot="1">
      <c r="A61" s="408"/>
      <c r="B61" s="457" t="s">
        <v>599</v>
      </c>
      <c r="C61" s="405">
        <f>C16*(C7+C10)*2</f>
        <v>0</v>
      </c>
      <c r="D61" s="406"/>
      <c r="E61" s="407">
        <f t="shared" si="1"/>
        <v>0</v>
      </c>
      <c r="F61" s="650"/>
      <c r="G61" s="442"/>
      <c r="H61" s="442"/>
      <c r="I61" s="442"/>
      <c r="J61" s="442"/>
      <c r="K61" s="442"/>
      <c r="L61" s="408"/>
    </row>
    <row r="62" spans="1:12" ht="12" customHeight="1" thickBot="1">
      <c r="A62" s="408"/>
      <c r="B62" s="442"/>
      <c r="C62" s="442"/>
      <c r="D62" s="458" t="s">
        <v>9</v>
      </c>
      <c r="E62" s="530">
        <f>SUMIF(E27:E61,"&gt;0",E27:E61)</f>
        <v>0</v>
      </c>
      <c r="F62" s="650"/>
      <c r="G62" s="442"/>
      <c r="H62" s="442"/>
      <c r="I62" s="442"/>
      <c r="J62" s="442"/>
      <c r="K62" s="442"/>
      <c r="L62" s="408"/>
    </row>
    <row r="63" spans="1:12">
      <c r="A63" s="408"/>
      <c r="B63" s="442"/>
      <c r="C63" s="442"/>
      <c r="D63" s="442"/>
      <c r="E63" s="442"/>
      <c r="F63" s="650"/>
      <c r="G63" s="442"/>
      <c r="H63" s="442"/>
      <c r="I63" s="442"/>
      <c r="J63" s="442"/>
      <c r="K63" s="442"/>
      <c r="L63" s="408"/>
    </row>
    <row r="64" spans="1:12">
      <c r="A64" s="408"/>
      <c r="B64" s="408"/>
      <c r="C64" s="408"/>
      <c r="D64" s="408"/>
      <c r="E64" s="408"/>
      <c r="F64" s="408"/>
      <c r="G64" s="408"/>
      <c r="H64" s="408"/>
      <c r="I64" s="408"/>
      <c r="J64" s="408"/>
      <c r="K64" s="408"/>
      <c r="L64" s="408"/>
    </row>
    <row r="65" spans="1:12" ht="11.25" customHeight="1">
      <c r="A65" s="408"/>
      <c r="B65" s="408"/>
      <c r="C65" s="408"/>
      <c r="D65" s="408"/>
      <c r="E65" s="408"/>
      <c r="F65" s="408"/>
      <c r="G65" s="408"/>
      <c r="H65" s="408"/>
      <c r="I65" s="408"/>
      <c r="J65" s="408"/>
      <c r="K65" s="408"/>
      <c r="L65" s="408"/>
    </row>
    <row r="66" spans="1:12">
      <c r="A66" s="408"/>
      <c r="B66" s="408"/>
      <c r="C66" s="408"/>
      <c r="D66" s="408"/>
      <c r="E66" s="408"/>
      <c r="F66" s="408"/>
      <c r="G66" s="408"/>
      <c r="H66" s="408"/>
      <c r="I66" s="408"/>
      <c r="J66" s="408"/>
      <c r="K66" s="408"/>
      <c r="L66" s="408"/>
    </row>
    <row r="67" spans="1:12">
      <c r="A67" s="408"/>
      <c r="B67" s="408"/>
      <c r="C67" s="408"/>
      <c r="D67" s="408"/>
      <c r="E67" s="408"/>
      <c r="F67" s="408"/>
      <c r="G67" s="408"/>
      <c r="H67" s="408"/>
      <c r="I67" s="408"/>
      <c r="J67" s="408"/>
      <c r="K67" s="408"/>
      <c r="L67" s="408"/>
    </row>
    <row r="68" spans="1:12">
      <c r="A68" s="408"/>
      <c r="B68" s="408"/>
      <c r="C68" s="408"/>
      <c r="D68" s="408"/>
      <c r="E68" s="408"/>
      <c r="F68" s="408"/>
      <c r="G68" s="408"/>
      <c r="H68" s="408"/>
      <c r="I68" s="408"/>
      <c r="J68" s="408"/>
      <c r="K68" s="408"/>
      <c r="L68" s="408"/>
    </row>
    <row r="69" spans="1:12">
      <c r="A69" s="408"/>
      <c r="B69" s="408"/>
      <c r="C69" s="408"/>
      <c r="D69" s="408"/>
      <c r="E69" s="408"/>
      <c r="F69" s="408"/>
      <c r="G69" s="408"/>
      <c r="H69" s="408"/>
      <c r="I69" s="408"/>
      <c r="J69" s="408"/>
      <c r="K69" s="408"/>
      <c r="L69" s="408"/>
    </row>
    <row r="70" spans="1:12" ht="11.25" customHeight="1">
      <c r="A70" s="408"/>
      <c r="B70" s="408"/>
      <c r="C70" s="408"/>
      <c r="D70" s="408"/>
      <c r="E70" s="408"/>
      <c r="F70" s="408"/>
      <c r="G70" s="408"/>
      <c r="H70" s="408"/>
      <c r="I70" s="408"/>
      <c r="J70" s="408"/>
      <c r="K70" s="408"/>
      <c r="L70" s="408"/>
    </row>
  </sheetData>
  <sheetProtection algorithmName="SHA-512" hashValue="PsrCCHxI6lPpprbIA4qKEDxQJEQ9M9oSOgbdrIJB8gSXjoVJWJHGz8NVRuYUYU+mzR59uFTdEtWNXA/sGk3HuA==" saltValue="5XuGq/vi+0Q2tuBYUskDdQ==" spinCount="100000" sheet="1"/>
  <mergeCells count="8">
    <mergeCell ref="B1:E1"/>
    <mergeCell ref="B25:E25"/>
    <mergeCell ref="F12:F17"/>
    <mergeCell ref="F19:F22"/>
    <mergeCell ref="D2:F5"/>
    <mergeCell ref="D6:F11"/>
    <mergeCell ref="D23:F23"/>
    <mergeCell ref="D24:F24"/>
  </mergeCells>
  <conditionalFormatting sqref="C18">
    <cfRule type="cellIs" dxfId="295" priority="54" operator="greaterThan">
      <formula>0</formula>
    </cfRule>
  </conditionalFormatting>
  <conditionalFormatting sqref="C18">
    <cfRule type="cellIs" dxfId="294" priority="58" operator="greaterThan">
      <formula>0</formula>
    </cfRule>
  </conditionalFormatting>
  <conditionalFormatting sqref="C18">
    <cfRule type="cellIs" dxfId="293" priority="57" operator="greaterThan">
      <formula>0</formula>
    </cfRule>
  </conditionalFormatting>
  <conditionalFormatting sqref="C18">
    <cfRule type="cellIs" dxfId="292" priority="56" operator="greaterThan">
      <formula>0</formula>
    </cfRule>
  </conditionalFormatting>
  <conditionalFormatting sqref="C18">
    <cfRule type="cellIs" dxfId="291" priority="55" operator="greaterThan">
      <formula>0</formula>
    </cfRule>
  </conditionalFormatting>
  <conditionalFormatting sqref="C54:E54">
    <cfRule type="cellIs" dxfId="290" priority="53" operator="greaterThan">
      <formula>0</formula>
    </cfRule>
  </conditionalFormatting>
  <conditionalFormatting sqref="C55:E55">
    <cfRule type="cellIs" dxfId="289" priority="52" operator="greaterThan">
      <formula>0</formula>
    </cfRule>
  </conditionalFormatting>
  <conditionalFormatting sqref="C54:E55">
    <cfRule type="cellIs" dxfId="288" priority="51" operator="greaterThan">
      <formula>0</formula>
    </cfRule>
  </conditionalFormatting>
  <conditionalFormatting sqref="C54:E55">
    <cfRule type="cellIs" dxfId="287" priority="50" operator="greaterThan">
      <formula>0</formula>
    </cfRule>
  </conditionalFormatting>
  <conditionalFormatting sqref="C54:E55">
    <cfRule type="cellIs" dxfId="286" priority="49" operator="greaterThan">
      <formula>0</formula>
    </cfRule>
  </conditionalFormatting>
  <conditionalFormatting sqref="J3:J19">
    <cfRule type="cellIs" dxfId="285" priority="22" operator="greaterThan">
      <formula>0</formula>
    </cfRule>
    <cfRule type="cellIs" dxfId="284" priority="23" operator="greaterThan">
      <formula>0</formula>
    </cfRule>
  </conditionalFormatting>
  <conditionalFormatting sqref="H10:H12">
    <cfRule type="iconSet" priority="47">
      <iconSet iconSet="3Symbols">
        <cfvo type="percent" val="0"/>
        <cfvo type="percent" val="33"/>
        <cfvo type="percent" val="67"/>
      </iconSet>
    </cfRule>
    <cfRule type="expression" priority="48">
      <formula>"H71=1"</formula>
    </cfRule>
  </conditionalFormatting>
  <conditionalFormatting sqref="H10">
    <cfRule type="iconSet" priority="46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283" priority="43" operator="equal">
      <formula>"ДА"</formula>
    </cfRule>
    <cfRule type="cellIs" dxfId="282" priority="44" operator="equal">
      <formula>"НЕТ"</formula>
    </cfRule>
  </conditionalFormatting>
  <conditionalFormatting sqref="I3:I4 I6:I8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81" priority="40" operator="equal">
      <formula>"ДА"</formula>
    </cfRule>
    <cfRule type="cellIs" dxfId="280" priority="41" operator="equal">
      <formula>"НЕТ"</formula>
    </cfRule>
  </conditionalFormatting>
  <conditionalFormatting sqref="I5">
    <cfRule type="cellIs" dxfId="279" priority="37" operator="equal">
      <formula>"ДА"</formula>
    </cfRule>
    <cfRule type="cellIs" dxfId="278" priority="38" operator="equal">
      <formula>"НЕТ"</formula>
    </cfRule>
  </conditionalFormatting>
  <conditionalFormatting sqref="I9">
    <cfRule type="colorScale" priority="4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277" priority="33" operator="equal">
      <formula>"ДА"</formula>
    </cfRule>
    <cfRule type="cellIs" dxfId="276" priority="34" operator="equal">
      <formula>"НЕТ"</formula>
    </cfRule>
  </conditionalFormatting>
  <conditionalFormatting sqref="I5">
    <cfRule type="colorScale" priority="3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5">
      <iconSet iconSet="3Symbols">
        <cfvo type="percent" val="0"/>
        <cfvo type="percent" val="33"/>
        <cfvo type="percent" val="67"/>
      </iconSet>
    </cfRule>
    <cfRule type="expression" priority="36">
      <formula>"H71=1"</formula>
    </cfRule>
  </conditionalFormatting>
  <conditionalFormatting sqref="I14">
    <cfRule type="cellIs" dxfId="275" priority="29" operator="equal">
      <formula>"ДА"</formula>
    </cfRule>
    <cfRule type="cellIs" dxfId="274" priority="30" operator="equal">
      <formula>"НЕТ"</formula>
    </cfRule>
  </conditionalFormatting>
  <conditionalFormatting sqref="H14">
    <cfRule type="iconSet" priority="31">
      <iconSet iconSet="3Symbols">
        <cfvo type="percent" val="0"/>
        <cfvo type="percent" val="33"/>
        <cfvo type="percent" val="67"/>
      </iconSet>
    </cfRule>
    <cfRule type="expression" priority="32">
      <formula>"H71=1"</formula>
    </cfRule>
  </conditionalFormatting>
  <conditionalFormatting sqref="I18">
    <cfRule type="cellIs" dxfId="273" priority="27" operator="equal">
      <formula>"ДА"</formula>
    </cfRule>
    <cfRule type="cellIs" dxfId="272" priority="28" operator="equal">
      <formula>"НЕТ"</formula>
    </cfRule>
  </conditionalFormatting>
  <conditionalFormatting sqref="I19">
    <cfRule type="cellIs" dxfId="271" priority="25" operator="equal">
      <formula>"ДА"</formula>
    </cfRule>
    <cfRule type="cellIs" dxfId="270" priority="26" operator="equal">
      <formula>"НЕТ"</formula>
    </cfRule>
  </conditionalFormatting>
  <conditionalFormatting sqref="K3:K19">
    <cfRule type="cellIs" dxfId="269" priority="24" operator="greaterThan">
      <formula>0</formula>
    </cfRule>
  </conditionalFormatting>
  <conditionalFormatting sqref="I15:I19">
    <cfRule type="cellIs" dxfId="268" priority="21" operator="equal">
      <formula>"НЕТ"</formula>
    </cfRule>
  </conditionalFormatting>
  <conditionalFormatting sqref="I3:I19">
    <cfRule type="cellIs" dxfId="267" priority="19" operator="equal">
      <formula>"НЕТ"</formula>
    </cfRule>
    <cfRule type="cellIs" dxfId="266" priority="20" operator="equal">
      <formula>"ДА"</formula>
    </cfRule>
  </conditionalFormatting>
  <conditionalFormatting sqref="I3:I18">
    <cfRule type="cellIs" dxfId="265" priority="18" operator="equal">
      <formula>"ДА"</formula>
    </cfRule>
  </conditionalFormatting>
  <conditionalFormatting sqref="I5">
    <cfRule type="cellIs" dxfId="264" priority="15" operator="equal">
      <formula>"ДА"</formula>
    </cfRule>
    <cfRule type="cellIs" dxfId="263" priority="16" operator="equal">
      <formula>"НЕТ"</formula>
    </cfRule>
  </conditionalFormatting>
  <conditionalFormatting sqref="I5">
    <cfRule type="colorScale" priority="1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62" priority="12" operator="equal">
      <formula>"ДА"</formula>
    </cfRule>
    <cfRule type="cellIs" dxfId="261" priority="13" operator="equal">
      <formula>"НЕТ"</formula>
    </cfRule>
  </conditionalFormatting>
  <conditionalFormatting sqref="I9">
    <cfRule type="colorScale" priority="1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9">
    <cfRule type="cellIs" dxfId="260" priority="3" operator="greaterThan">
      <formula>0</formula>
    </cfRule>
    <cfRule type="cellIs" dxfId="259" priority="7" operator="greaterThan">
      <formula>0</formula>
    </cfRule>
    <cfRule type="cellIs" dxfId="258" priority="11" operator="greaterThan">
      <formula>0</formula>
    </cfRule>
  </conditionalFormatting>
  <conditionalFormatting sqref="I5">
    <cfRule type="cellIs" dxfId="257" priority="8" operator="equal">
      <formula>"ДА"</formula>
    </cfRule>
    <cfRule type="cellIs" dxfId="256" priority="9" operator="equal">
      <formula>"НЕТ"</formula>
    </cfRule>
  </conditionalFormatting>
  <conditionalFormatting sqref="I5">
    <cfRule type="colorScale" priority="1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22">
    <cfRule type="cellIs" dxfId="255" priority="6" operator="greaterThan">
      <formula>0</formula>
    </cfRule>
  </conditionalFormatting>
  <conditionalFormatting sqref="C44:E58 C61:E61">
    <cfRule type="cellIs" dxfId="254" priority="5" operator="greaterThan">
      <formula>0</formula>
    </cfRule>
  </conditionalFormatting>
  <conditionalFormatting sqref="E62">
    <cfRule type="cellIs" dxfId="253" priority="4" operator="greaterThan">
      <formula>0</formula>
    </cfRule>
  </conditionalFormatting>
  <conditionalFormatting sqref="C23:C24">
    <cfRule type="cellIs" dxfId="252" priority="2" operator="greaterThan">
      <formula>0</formula>
    </cfRule>
  </conditionalFormatting>
  <conditionalFormatting sqref="C59:E60">
    <cfRule type="cellIs" dxfId="251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C36" formula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/>
  <dimension ref="A1:L52"/>
  <sheetViews>
    <sheetView workbookViewId="0">
      <pane ySplit="18" topLeftCell="A19" activePane="bottomLeft" state="frozen"/>
      <selection pane="bottomLeft" activeCell="H29" sqref="H29"/>
    </sheetView>
  </sheetViews>
  <sheetFormatPr defaultRowHeight="11.25"/>
  <cols>
    <col min="1" max="1" width="5" customWidth="1"/>
    <col min="2" max="2" width="61.1640625" customWidth="1"/>
    <col min="3" max="3" width="10.6640625" customWidth="1"/>
    <col min="4" max="4" width="10.83203125" customWidth="1"/>
    <col min="5" max="5" width="13" customWidth="1"/>
    <col min="6" max="6" width="27.33203125" customWidth="1"/>
    <col min="7" max="7" width="4.5" customWidth="1"/>
    <col min="8" max="8" width="45.6640625" customWidth="1"/>
    <col min="9" max="9" width="4.83203125" customWidth="1"/>
  </cols>
  <sheetData>
    <row r="1" spans="1:12" ht="53.25" customHeight="1" thickBot="1">
      <c r="A1" s="408"/>
      <c r="B1" s="1286"/>
      <c r="C1" s="1287"/>
      <c r="D1" s="1287"/>
      <c r="E1" s="1287"/>
      <c r="F1" s="408"/>
      <c r="G1" s="408"/>
      <c r="H1" s="408"/>
      <c r="I1" s="408"/>
      <c r="J1" s="408"/>
      <c r="K1" s="408"/>
    </row>
    <row r="2" spans="1:12" ht="12" customHeight="1" thickBot="1">
      <c r="A2" s="408"/>
      <c r="B2" s="410" t="s">
        <v>556</v>
      </c>
      <c r="C2" s="461">
        <v>0</v>
      </c>
      <c r="D2" s="1238" t="s">
        <v>595</v>
      </c>
      <c r="E2" s="1239"/>
      <c r="F2" s="1240"/>
      <c r="G2" s="442"/>
      <c r="H2" s="412" t="s">
        <v>485</v>
      </c>
      <c r="I2" s="691" t="s">
        <v>604</v>
      </c>
      <c r="J2" s="413" t="s">
        <v>4</v>
      </c>
      <c r="K2" s="414" t="s">
        <v>8</v>
      </c>
      <c r="L2" s="319"/>
    </row>
    <row r="3" spans="1:12" ht="12" customHeight="1">
      <c r="A3" s="408"/>
      <c r="B3" s="420" t="s">
        <v>557</v>
      </c>
      <c r="C3" s="554">
        <v>0</v>
      </c>
      <c r="D3" s="1258"/>
      <c r="E3" s="1244"/>
      <c r="F3" s="1245"/>
      <c r="G3" s="442"/>
      <c r="H3" s="416" t="s">
        <v>489</v>
      </c>
      <c r="I3" s="626" t="str">
        <f>IF(AND($C$8+$C$9=1,$C$10+$C$11=0,$C$12=1),"ДА","НЕТ")</f>
        <v>НЕТ</v>
      </c>
      <c r="J3" s="321"/>
      <c r="K3" s="322">
        <f>IF(I3="ДА",($C$6+$C$7)*J3,0)</f>
        <v>0</v>
      </c>
      <c r="L3" s="319"/>
    </row>
    <row r="4" spans="1:12" ht="12" customHeight="1">
      <c r="A4" s="408"/>
      <c r="B4" s="517" t="s">
        <v>558</v>
      </c>
      <c r="C4" s="622">
        <v>0</v>
      </c>
      <c r="D4" s="1258"/>
      <c r="E4" s="1244"/>
      <c r="F4" s="1245"/>
      <c r="G4" s="442"/>
      <c r="H4" s="421" t="s">
        <v>486</v>
      </c>
      <c r="I4" s="627" t="str">
        <f>IF(AND($C$8+$C$9=1,$C$10+$C$11=0,$C$12=3),"ДА","НЕТ")</f>
        <v>НЕТ</v>
      </c>
      <c r="J4" s="328"/>
      <c r="K4" s="322">
        <f t="shared" ref="K4:K15" si="0">IF(I4="ДА",($C$6+$C$7)*J4,0)</f>
        <v>0</v>
      </c>
      <c r="L4" s="319"/>
    </row>
    <row r="5" spans="1:12" ht="12" customHeight="1" thickBot="1">
      <c r="A5" s="408"/>
      <c r="B5" s="415" t="s">
        <v>559</v>
      </c>
      <c r="C5" s="462">
        <v>0</v>
      </c>
      <c r="D5" s="1241"/>
      <c r="E5" s="1242"/>
      <c r="F5" s="1243"/>
      <c r="G5" s="442"/>
      <c r="H5" s="421" t="s">
        <v>591</v>
      </c>
      <c r="I5" s="627" t="str">
        <f>IF(AND($C$8+$C$9=1,$C$10+$C$11=0,$C$12=3),"ДА","НЕТ")</f>
        <v>НЕТ</v>
      </c>
      <c r="J5" s="328"/>
      <c r="K5" s="322">
        <f t="shared" si="0"/>
        <v>0</v>
      </c>
      <c r="L5" s="319"/>
    </row>
    <row r="6" spans="1:12" ht="12" customHeight="1">
      <c r="A6" s="408"/>
      <c r="B6" s="410" t="s">
        <v>560</v>
      </c>
      <c r="C6" s="589">
        <v>0</v>
      </c>
      <c r="D6" s="1238" t="s">
        <v>597</v>
      </c>
      <c r="E6" s="1239"/>
      <c r="F6" s="1240"/>
      <c r="G6" s="442"/>
      <c r="H6" s="421" t="s">
        <v>487</v>
      </c>
      <c r="I6" s="627" t="str">
        <f>IF(AND($C$8+$C$9=1,$C$10+$C$11=0,$C$12=2),"ДА","НЕТ")</f>
        <v>НЕТ</v>
      </c>
      <c r="J6" s="328"/>
      <c r="K6" s="322">
        <f t="shared" si="0"/>
        <v>0</v>
      </c>
      <c r="L6" s="319"/>
    </row>
    <row r="7" spans="1:12" ht="12" customHeight="1" thickBot="1">
      <c r="A7" s="408"/>
      <c r="B7" s="443" t="s">
        <v>561</v>
      </c>
      <c r="C7" s="591">
        <v>0</v>
      </c>
      <c r="D7" s="1241"/>
      <c r="E7" s="1242"/>
      <c r="F7" s="1243"/>
      <c r="G7" s="442"/>
      <c r="H7" s="421" t="s">
        <v>488</v>
      </c>
      <c r="I7" s="627" t="str">
        <f>IF(AND($C$8+$C$9=1,$C$10+$C$11=0,$C$12=2),"ДА","НЕТ")</f>
        <v>НЕТ</v>
      </c>
      <c r="J7" s="328"/>
      <c r="K7" s="322">
        <f t="shared" si="0"/>
        <v>0</v>
      </c>
      <c r="L7" s="319"/>
    </row>
    <row r="8" spans="1:12" ht="12" customHeight="1">
      <c r="A8" s="408"/>
      <c r="B8" s="422" t="s">
        <v>498</v>
      </c>
      <c r="C8" s="552">
        <v>0</v>
      </c>
      <c r="D8" s="425" t="s">
        <v>287</v>
      </c>
      <c r="E8" s="426" t="s">
        <v>255</v>
      </c>
      <c r="F8" s="1247" t="s">
        <v>597</v>
      </c>
      <c r="G8" s="442"/>
      <c r="H8" s="421" t="s">
        <v>494</v>
      </c>
      <c r="I8" s="627" t="str">
        <f>IF(AND($C$8+$C$9=1,$C$10+$C$11=0,$C$12=2),"ДА","НЕТ")</f>
        <v>НЕТ</v>
      </c>
      <c r="J8" s="328"/>
      <c r="K8" s="322">
        <f t="shared" si="0"/>
        <v>0</v>
      </c>
      <c r="L8" s="319"/>
    </row>
    <row r="9" spans="1:12" ht="12" customHeight="1">
      <c r="A9" s="408"/>
      <c r="B9" s="420" t="s">
        <v>499</v>
      </c>
      <c r="C9" s="464">
        <v>0</v>
      </c>
      <c r="D9" s="427" t="s">
        <v>287</v>
      </c>
      <c r="E9" s="428" t="s">
        <v>255</v>
      </c>
      <c r="F9" s="1247"/>
      <c r="G9" s="442"/>
      <c r="H9" s="416" t="s">
        <v>590</v>
      </c>
      <c r="I9" s="627" t="str">
        <f>IF(AND($C$8+$C$9=1,$C$10+$C$11=0,$C$12=1),"ДА","НЕТ")</f>
        <v>НЕТ</v>
      </c>
      <c r="J9" s="321"/>
      <c r="K9" s="322">
        <f t="shared" si="0"/>
        <v>0</v>
      </c>
      <c r="L9" s="319"/>
    </row>
    <row r="10" spans="1:12" ht="12" customHeight="1">
      <c r="A10" s="408"/>
      <c r="B10" s="422" t="s">
        <v>500</v>
      </c>
      <c r="C10" s="465">
        <v>0</v>
      </c>
      <c r="D10" s="425" t="s">
        <v>287</v>
      </c>
      <c r="E10" s="426" t="s">
        <v>255</v>
      </c>
      <c r="F10" s="1247"/>
      <c r="G10" s="442"/>
      <c r="H10" s="416" t="s">
        <v>383</v>
      </c>
      <c r="I10" s="627" t="str">
        <f>IF(AND($C$8+$C$9=0,$C$10+$C$11=1,$C$12=1),"ДА","НЕТ")</f>
        <v>НЕТ</v>
      </c>
      <c r="J10" s="328"/>
      <c r="K10" s="322">
        <f t="shared" si="0"/>
        <v>0</v>
      </c>
      <c r="L10" s="319"/>
    </row>
    <row r="11" spans="1:12" ht="12" customHeight="1" thickBot="1">
      <c r="A11" s="408"/>
      <c r="B11" s="415" t="s">
        <v>501</v>
      </c>
      <c r="C11" s="466">
        <v>0</v>
      </c>
      <c r="D11" s="430" t="s">
        <v>287</v>
      </c>
      <c r="E11" s="431" t="s">
        <v>255</v>
      </c>
      <c r="F11" s="1248"/>
      <c r="G11" s="442"/>
      <c r="H11" s="419" t="s">
        <v>384</v>
      </c>
      <c r="I11" s="627" t="str">
        <f>IF(AND($C$8+$C$9=0,$C$10+$C$11=1,$C$12=1),"ДА","НЕТ")</f>
        <v>НЕТ</v>
      </c>
      <c r="J11" s="328"/>
      <c r="K11" s="322">
        <f t="shared" si="0"/>
        <v>0</v>
      </c>
      <c r="L11" s="319"/>
    </row>
    <row r="12" spans="1:12" ht="12" customHeight="1" thickBot="1">
      <c r="A12" s="408"/>
      <c r="B12" s="432" t="s">
        <v>589</v>
      </c>
      <c r="C12" s="551">
        <v>0</v>
      </c>
      <c r="D12" s="436" t="s">
        <v>619</v>
      </c>
      <c r="E12" s="437" t="s">
        <v>620</v>
      </c>
      <c r="F12" s="647" t="s">
        <v>621</v>
      </c>
      <c r="G12" s="442"/>
      <c r="H12" s="419" t="s">
        <v>385</v>
      </c>
      <c r="I12" s="627" t="str">
        <f>IF(AND($C$8+$C$9=0,$C$10+$C$11=1,$C$12=1),"ДА","НЕТ")</f>
        <v>НЕТ</v>
      </c>
      <c r="J12" s="331"/>
      <c r="K12" s="322">
        <f t="shared" si="0"/>
        <v>0</v>
      </c>
      <c r="L12" s="319"/>
    </row>
    <row r="13" spans="1:12" ht="12" customHeight="1">
      <c r="A13" s="408"/>
      <c r="B13" s="422" t="s">
        <v>397</v>
      </c>
      <c r="C13" s="465">
        <v>0</v>
      </c>
      <c r="D13" s="423" t="s">
        <v>287</v>
      </c>
      <c r="E13" s="424" t="s">
        <v>255</v>
      </c>
      <c r="F13" s="1259" t="s">
        <v>597</v>
      </c>
      <c r="G13" s="442"/>
      <c r="H13" s="416" t="s">
        <v>388</v>
      </c>
      <c r="I13" s="627" t="str">
        <f>IF(AND($C$8+$C$9=0,$C$10+$C$11=1,$C$12=2),"ДА","НЕТ")</f>
        <v>НЕТ</v>
      </c>
      <c r="J13" s="328"/>
      <c r="K13" s="322">
        <f t="shared" si="0"/>
        <v>0</v>
      </c>
      <c r="L13" s="319"/>
    </row>
    <row r="14" spans="1:12" ht="12" customHeight="1" thickBot="1">
      <c r="A14" s="408"/>
      <c r="B14" s="415" t="s">
        <v>398</v>
      </c>
      <c r="C14" s="466">
        <v>0</v>
      </c>
      <c r="D14" s="430" t="s">
        <v>287</v>
      </c>
      <c r="E14" s="431" t="s">
        <v>255</v>
      </c>
      <c r="F14" s="1260"/>
      <c r="G14" s="442"/>
      <c r="H14" s="419" t="s">
        <v>389</v>
      </c>
      <c r="I14" s="627" t="str">
        <f>IF(AND($C$8+$C$9=0,$C$10+$C$11=1,$C$12=2),"ДА","НЕТ")</f>
        <v>НЕТ</v>
      </c>
      <c r="J14" s="328"/>
      <c r="K14" s="322">
        <f t="shared" si="0"/>
        <v>0</v>
      </c>
      <c r="L14" s="319"/>
    </row>
    <row r="15" spans="1:12" ht="12" customHeight="1" thickBot="1">
      <c r="A15" s="408"/>
      <c r="B15" s="410" t="s">
        <v>147</v>
      </c>
      <c r="C15" s="467">
        <v>0</v>
      </c>
      <c r="D15" s="1249" t="s">
        <v>686</v>
      </c>
      <c r="E15" s="1250"/>
      <c r="F15" s="1251"/>
      <c r="G15" s="442"/>
      <c r="H15" s="440" t="s">
        <v>390</v>
      </c>
      <c r="I15" s="637" t="str">
        <f>IF(AND($C$8+$C$9=0,$C$10+$C$11=1,$C$12=2),"ДА","НЕТ")</f>
        <v>НЕТ</v>
      </c>
      <c r="J15" s="335"/>
      <c r="K15" s="478">
        <f t="shared" si="0"/>
        <v>0</v>
      </c>
      <c r="L15" s="319"/>
    </row>
    <row r="16" spans="1:12" ht="12" customHeight="1" thickBot="1">
      <c r="A16" s="408"/>
      <c r="B16" s="415" t="s">
        <v>146</v>
      </c>
      <c r="C16" s="466">
        <v>0</v>
      </c>
      <c r="D16" s="1255" t="s">
        <v>687</v>
      </c>
      <c r="E16" s="1256"/>
      <c r="F16" s="1257"/>
      <c r="G16" s="442"/>
      <c r="H16" s="567"/>
      <c r="I16" s="731"/>
      <c r="J16" s="339"/>
      <c r="K16" s="340"/>
      <c r="L16" s="319"/>
    </row>
    <row r="17" spans="1:12" ht="12" customHeight="1" thickBot="1">
      <c r="A17" s="408"/>
      <c r="B17" s="642"/>
      <c r="C17" s="642"/>
      <c r="D17" s="642"/>
      <c r="E17" s="642"/>
      <c r="F17" s="442"/>
      <c r="G17" s="442"/>
      <c r="H17" s="567"/>
      <c r="I17" s="731"/>
      <c r="J17" s="339"/>
      <c r="K17" s="340"/>
      <c r="L17" s="319"/>
    </row>
    <row r="18" spans="1:12" ht="12" customHeight="1" thickBot="1">
      <c r="A18" s="408"/>
      <c r="B18" s="497" t="s">
        <v>5</v>
      </c>
      <c r="C18" s="498" t="s">
        <v>0</v>
      </c>
      <c r="D18" s="499" t="s">
        <v>4</v>
      </c>
      <c r="E18" s="500" t="s">
        <v>8</v>
      </c>
      <c r="F18" s="442"/>
      <c r="G18" s="442"/>
      <c r="H18" s="442"/>
      <c r="I18" s="442"/>
      <c r="J18" s="442"/>
      <c r="K18" s="442"/>
      <c r="L18" s="319"/>
    </row>
    <row r="19" spans="1:12" ht="12" customHeight="1">
      <c r="A19" s="408"/>
      <c r="B19" s="454" t="s">
        <v>401</v>
      </c>
      <c r="C19" s="350">
        <f>(C2+C3)*(C6+C7)</f>
        <v>0</v>
      </c>
      <c r="D19" s="356">
        <v>1</v>
      </c>
      <c r="E19" s="347">
        <f t="shared" ref="E19:E43" si="1">C19*D19</f>
        <v>0</v>
      </c>
      <c r="F19" s="442"/>
      <c r="G19" s="442"/>
      <c r="H19" s="442"/>
      <c r="I19" s="442"/>
      <c r="J19" s="442"/>
      <c r="K19" s="442"/>
      <c r="L19" s="319"/>
    </row>
    <row r="20" spans="1:12" ht="12" customHeight="1">
      <c r="A20" s="408"/>
      <c r="B20" s="454" t="s">
        <v>402</v>
      </c>
      <c r="C20" s="350">
        <f>IF(C14=1,(C2+C3)*(C6+C7),0)</f>
        <v>0</v>
      </c>
      <c r="D20" s="356"/>
      <c r="E20" s="347">
        <f t="shared" si="1"/>
        <v>0</v>
      </c>
      <c r="F20" s="442"/>
      <c r="G20" s="442"/>
      <c r="H20" s="442"/>
      <c r="I20" s="442"/>
      <c r="J20" s="442"/>
      <c r="K20" s="442"/>
      <c r="L20" s="319"/>
    </row>
    <row r="21" spans="1:12" ht="12" customHeight="1">
      <c r="A21" s="408"/>
      <c r="B21" s="452" t="s">
        <v>399</v>
      </c>
      <c r="C21" s="345">
        <f>IF(AND(C13=1,C14=0),(C6+C7)*4,0)</f>
        <v>0</v>
      </c>
      <c r="D21" s="356"/>
      <c r="E21" s="347">
        <f t="shared" si="1"/>
        <v>0</v>
      </c>
      <c r="F21" s="442"/>
      <c r="G21" s="442"/>
      <c r="H21" s="442"/>
      <c r="I21" s="442"/>
      <c r="J21" s="442"/>
      <c r="K21" s="442"/>
      <c r="L21" s="319"/>
    </row>
    <row r="22" spans="1:12" ht="12" customHeight="1">
      <c r="A22" s="408"/>
      <c r="B22" s="452" t="s">
        <v>400</v>
      </c>
      <c r="C22" s="345">
        <f>IF(AND(C13=0,C14=1),(C6+C7)*2,0)</f>
        <v>0</v>
      </c>
      <c r="D22" s="356"/>
      <c r="E22" s="347">
        <f t="shared" si="1"/>
        <v>0</v>
      </c>
      <c r="F22" s="442"/>
      <c r="G22" s="442"/>
      <c r="H22" s="442"/>
      <c r="I22" s="442"/>
      <c r="J22" s="442"/>
      <c r="K22" s="442"/>
      <c r="L22" s="319"/>
    </row>
    <row r="23" spans="1:12" ht="12" customHeight="1">
      <c r="A23" s="408"/>
      <c r="B23" s="454" t="s">
        <v>641</v>
      </c>
      <c r="C23" s="350">
        <f>EVEN(ROUNDDOWN(IF((C6+C7)&gt;0,((C2+C3)/0.5)*(C6+C7),0),0))</f>
        <v>0</v>
      </c>
      <c r="D23" s="351"/>
      <c r="E23" s="347">
        <f t="shared" si="1"/>
        <v>0</v>
      </c>
      <c r="F23" s="442"/>
      <c r="G23" s="442"/>
      <c r="H23" s="442"/>
      <c r="I23" s="442"/>
      <c r="J23" s="442"/>
      <c r="K23" s="442"/>
      <c r="L23" s="319"/>
    </row>
    <row r="24" spans="1:12" ht="12" customHeight="1">
      <c r="A24" s="408"/>
      <c r="B24" s="452" t="s">
        <v>676</v>
      </c>
      <c r="C24" s="357">
        <f>(C2+C3)*(C6+C7)</f>
        <v>0</v>
      </c>
      <c r="D24" s="351"/>
      <c r="E24" s="347">
        <f t="shared" si="1"/>
        <v>0</v>
      </c>
      <c r="F24" s="442"/>
      <c r="G24" s="442"/>
      <c r="H24" s="442"/>
      <c r="I24" s="442"/>
      <c r="J24" s="442"/>
      <c r="K24" s="442"/>
      <c r="L24" s="319"/>
    </row>
    <row r="25" spans="1:12" ht="12" customHeight="1">
      <c r="A25" s="408"/>
      <c r="B25" s="454" t="s">
        <v>555</v>
      </c>
      <c r="C25" s="350">
        <f>C6+C7</f>
        <v>0</v>
      </c>
      <c r="D25" s="356"/>
      <c r="E25" s="347">
        <f t="shared" si="1"/>
        <v>0</v>
      </c>
      <c r="F25" s="442"/>
      <c r="G25" s="442"/>
      <c r="H25" s="442"/>
      <c r="I25" s="442"/>
      <c r="J25" s="442"/>
      <c r="K25" s="442"/>
      <c r="L25" s="319"/>
    </row>
    <row r="26" spans="1:12" ht="12" customHeight="1">
      <c r="A26" s="408"/>
      <c r="B26" s="454" t="s">
        <v>420</v>
      </c>
      <c r="C26" s="350">
        <f>IF((C8+C9)&gt;0,(C6+C7)*2,0)</f>
        <v>0</v>
      </c>
      <c r="D26" s="356"/>
      <c r="E26" s="347">
        <f t="shared" si="1"/>
        <v>0</v>
      </c>
      <c r="F26" s="442"/>
      <c r="G26" s="442"/>
      <c r="H26" s="442"/>
      <c r="I26" s="442"/>
      <c r="J26" s="442"/>
      <c r="K26" s="442"/>
      <c r="L26" s="319"/>
    </row>
    <row r="27" spans="1:12" ht="12" customHeight="1">
      <c r="A27" s="408"/>
      <c r="B27" s="454" t="s">
        <v>513</v>
      </c>
      <c r="C27" s="350">
        <f>IF((C10+C11)&gt;0,(C6+C7)*2,0)</f>
        <v>0</v>
      </c>
      <c r="D27" s="356"/>
      <c r="E27" s="347">
        <f t="shared" si="1"/>
        <v>0</v>
      </c>
      <c r="F27" s="442"/>
      <c r="G27" s="442"/>
      <c r="H27" s="442"/>
      <c r="I27" s="442"/>
      <c r="J27" s="442"/>
      <c r="K27" s="442"/>
      <c r="L27" s="319"/>
    </row>
    <row r="28" spans="1:12" ht="12" customHeight="1">
      <c r="A28" s="408"/>
      <c r="B28" s="452" t="s">
        <v>679</v>
      </c>
      <c r="C28" s="353">
        <f>(C6+C7)*2</f>
        <v>0</v>
      </c>
      <c r="D28" s="401"/>
      <c r="E28" s="347">
        <f t="shared" si="1"/>
        <v>0</v>
      </c>
      <c r="F28" s="442"/>
      <c r="G28" s="442"/>
      <c r="H28" s="442"/>
      <c r="I28" s="442"/>
      <c r="J28" s="442"/>
      <c r="K28" s="442"/>
      <c r="L28" s="319"/>
    </row>
    <row r="29" spans="1:12" ht="12" customHeight="1">
      <c r="A29" s="408"/>
      <c r="B29" s="454" t="s">
        <v>644</v>
      </c>
      <c r="C29" s="350">
        <f>(C6+C7)*3</f>
        <v>0</v>
      </c>
      <c r="D29" s="351"/>
      <c r="E29" s="347">
        <v>0</v>
      </c>
      <c r="F29" s="442"/>
      <c r="G29" s="442"/>
      <c r="H29" s="442"/>
      <c r="I29" s="442"/>
      <c r="J29" s="442"/>
      <c r="K29" s="442"/>
      <c r="L29" s="319"/>
    </row>
    <row r="30" spans="1:12" ht="12" customHeight="1">
      <c r="A30" s="408"/>
      <c r="B30" s="683" t="s">
        <v>424</v>
      </c>
      <c r="C30" s="402">
        <f>(C6+C7)*6</f>
        <v>0</v>
      </c>
      <c r="D30" s="265"/>
      <c r="E30" s="275">
        <v>0</v>
      </c>
      <c r="F30" s="442"/>
      <c r="G30" s="442"/>
      <c r="H30" s="442"/>
      <c r="I30" s="442"/>
      <c r="J30" s="442"/>
      <c r="K30" s="442"/>
      <c r="L30" s="319"/>
    </row>
    <row r="31" spans="1:12" ht="12" customHeight="1">
      <c r="A31" s="408"/>
      <c r="B31" s="454" t="s">
        <v>432</v>
      </c>
      <c r="C31" s="345">
        <f>C6*2</f>
        <v>0</v>
      </c>
      <c r="D31" s="399"/>
      <c r="E31" s="347">
        <f t="shared" si="1"/>
        <v>0</v>
      </c>
      <c r="F31" s="442"/>
      <c r="G31" s="442"/>
      <c r="H31" s="442"/>
      <c r="I31" s="442"/>
      <c r="J31" s="442"/>
      <c r="K31" s="442"/>
      <c r="L31" s="319"/>
    </row>
    <row r="32" spans="1:12" ht="12" customHeight="1">
      <c r="A32" s="408"/>
      <c r="B32" s="454" t="s">
        <v>433</v>
      </c>
      <c r="C32" s="350">
        <f>C6*4</f>
        <v>0</v>
      </c>
      <c r="D32" s="356"/>
      <c r="E32" s="347">
        <f t="shared" si="1"/>
        <v>0</v>
      </c>
      <c r="F32" s="442"/>
      <c r="G32" s="442"/>
      <c r="H32" s="442"/>
      <c r="I32" s="442"/>
      <c r="J32" s="442"/>
      <c r="K32" s="442"/>
      <c r="L32" s="319"/>
    </row>
    <row r="33" spans="1:12" ht="12" customHeight="1">
      <c r="A33" s="408"/>
      <c r="B33" s="454" t="s">
        <v>434</v>
      </c>
      <c r="C33" s="350">
        <f>C7*2</f>
        <v>0</v>
      </c>
      <c r="D33" s="356"/>
      <c r="E33" s="347">
        <f t="shared" si="1"/>
        <v>0</v>
      </c>
      <c r="F33" s="442"/>
      <c r="G33" s="442"/>
      <c r="H33" s="442"/>
      <c r="I33" s="442"/>
      <c r="J33" s="442"/>
      <c r="K33" s="442"/>
      <c r="L33" s="319"/>
    </row>
    <row r="34" spans="1:12" ht="12" customHeight="1">
      <c r="A34" s="408"/>
      <c r="B34" s="452" t="s">
        <v>474</v>
      </c>
      <c r="C34" s="350">
        <f>(C2+C3)*(C6+C7)*2</f>
        <v>0</v>
      </c>
      <c r="D34" s="356"/>
      <c r="E34" s="347">
        <f t="shared" si="1"/>
        <v>0</v>
      </c>
      <c r="F34" s="442"/>
      <c r="G34" s="442"/>
      <c r="H34" s="442"/>
      <c r="I34" s="442"/>
      <c r="J34" s="442"/>
      <c r="K34" s="442"/>
      <c r="L34" s="319"/>
    </row>
    <row r="35" spans="1:12" ht="12" customHeight="1">
      <c r="A35" s="408"/>
      <c r="B35" s="452" t="s">
        <v>461</v>
      </c>
      <c r="C35" s="357">
        <f>IF(AND(C6&gt;0,C7=0),(C2+C3)*C6,0)</f>
        <v>0</v>
      </c>
      <c r="D35" s="356"/>
      <c r="E35" s="347">
        <f t="shared" si="1"/>
        <v>0</v>
      </c>
      <c r="F35" s="442"/>
      <c r="G35" s="442"/>
      <c r="H35" s="442"/>
      <c r="I35" s="442"/>
      <c r="J35" s="442"/>
      <c r="K35" s="442"/>
      <c r="L35" s="319"/>
    </row>
    <row r="36" spans="1:12" ht="12" customHeight="1">
      <c r="A36" s="408"/>
      <c r="B36" s="452" t="s">
        <v>462</v>
      </c>
      <c r="C36" s="357">
        <f>IF(AND(C7&gt;0,C6=0),(C2+C3)*C6,0)</f>
        <v>0</v>
      </c>
      <c r="D36" s="356"/>
      <c r="E36" s="347">
        <f t="shared" si="1"/>
        <v>0</v>
      </c>
      <c r="F36" s="442"/>
      <c r="G36" s="442"/>
      <c r="H36" s="442"/>
      <c r="I36" s="442"/>
      <c r="J36" s="442"/>
      <c r="K36" s="442"/>
      <c r="L36" s="319"/>
    </row>
    <row r="37" spans="1:12" ht="12" customHeight="1">
      <c r="A37" s="408"/>
      <c r="B37" s="454" t="s">
        <v>647</v>
      </c>
      <c r="C37" s="357">
        <f>(C6+C7)*2</f>
        <v>0</v>
      </c>
      <c r="D37" s="356"/>
      <c r="E37" s="347">
        <f t="shared" si="1"/>
        <v>0</v>
      </c>
      <c r="F37" s="442"/>
      <c r="G37" s="442"/>
      <c r="H37" s="442"/>
      <c r="I37" s="442"/>
      <c r="J37" s="442"/>
      <c r="K37" s="442"/>
      <c r="L37" s="319"/>
    </row>
    <row r="38" spans="1:12" ht="12" customHeight="1">
      <c r="A38" s="408"/>
      <c r="B38" s="455" t="s">
        <v>378</v>
      </c>
      <c r="C38" s="357">
        <f>C8*C6*2</f>
        <v>0</v>
      </c>
      <c r="D38" s="356"/>
      <c r="E38" s="347">
        <f t="shared" si="1"/>
        <v>0</v>
      </c>
      <c r="F38" s="442"/>
      <c r="G38" s="442"/>
      <c r="H38" s="442"/>
      <c r="I38" s="442"/>
      <c r="J38" s="442"/>
      <c r="K38" s="442"/>
      <c r="L38" s="319"/>
    </row>
    <row r="39" spans="1:12" ht="12" customHeight="1">
      <c r="A39" s="408"/>
      <c r="B39" s="455" t="s">
        <v>598</v>
      </c>
      <c r="C39" s="357">
        <f>C10*C8*2</f>
        <v>0</v>
      </c>
      <c r="D39" s="356"/>
      <c r="E39" s="347">
        <f t="shared" si="1"/>
        <v>0</v>
      </c>
      <c r="F39" s="442"/>
      <c r="G39" s="442"/>
      <c r="H39" s="442"/>
      <c r="I39" s="442"/>
      <c r="J39" s="442"/>
      <c r="K39" s="442"/>
      <c r="L39" s="319"/>
    </row>
    <row r="40" spans="1:12" ht="12" customHeight="1">
      <c r="A40" s="408"/>
      <c r="B40" s="455" t="s">
        <v>436</v>
      </c>
      <c r="C40" s="357">
        <f>C9*C7*2</f>
        <v>0</v>
      </c>
      <c r="D40" s="356"/>
      <c r="E40" s="347">
        <f t="shared" si="1"/>
        <v>0</v>
      </c>
      <c r="F40" s="442"/>
      <c r="G40" s="442"/>
      <c r="H40" s="442"/>
      <c r="I40" s="442"/>
      <c r="J40" s="442"/>
      <c r="K40" s="442"/>
      <c r="L40" s="319"/>
    </row>
    <row r="41" spans="1:12" ht="12" customHeight="1">
      <c r="A41" s="408"/>
      <c r="B41" s="528" t="s">
        <v>145</v>
      </c>
      <c r="C41" s="509">
        <f>C16</f>
        <v>0</v>
      </c>
      <c r="D41" s="525"/>
      <c r="E41" s="403">
        <f t="shared" si="1"/>
        <v>0</v>
      </c>
      <c r="F41" s="442"/>
      <c r="G41" s="442"/>
      <c r="H41" s="442"/>
      <c r="I41" s="442"/>
      <c r="J41" s="442"/>
      <c r="K41" s="442"/>
      <c r="L41" s="319"/>
    </row>
    <row r="42" spans="1:12" ht="12" customHeight="1">
      <c r="A42" s="408"/>
      <c r="B42" s="528" t="s">
        <v>148</v>
      </c>
      <c r="C42" s="509">
        <f>C15</f>
        <v>0</v>
      </c>
      <c r="D42" s="525"/>
      <c r="E42" s="403">
        <f t="shared" si="1"/>
        <v>0</v>
      </c>
      <c r="F42" s="442"/>
      <c r="G42" s="442"/>
      <c r="H42" s="442"/>
      <c r="I42" s="442"/>
      <c r="J42" s="442"/>
      <c r="K42" s="442"/>
      <c r="L42" s="319"/>
    </row>
    <row r="43" spans="1:12" ht="12" customHeight="1" thickBot="1">
      <c r="A43" s="408"/>
      <c r="B43" s="457" t="s">
        <v>599</v>
      </c>
      <c r="C43" s="405">
        <f>C11*C7*2</f>
        <v>0</v>
      </c>
      <c r="D43" s="476"/>
      <c r="E43" s="407">
        <f t="shared" si="1"/>
        <v>0</v>
      </c>
      <c r="F43" s="442"/>
      <c r="G43" s="442"/>
      <c r="H43" s="442"/>
      <c r="I43" s="442"/>
      <c r="J43" s="442"/>
      <c r="K43" s="442"/>
      <c r="L43" s="319"/>
    </row>
    <row r="44" spans="1:12" ht="12" customHeight="1" thickBot="1">
      <c r="A44" s="408"/>
      <c r="B44" s="442"/>
      <c r="C44" s="442"/>
      <c r="D44" s="458" t="s">
        <v>9</v>
      </c>
      <c r="E44" s="530">
        <f>SUMIF(E19:E43,"&gt;0",E19:E43)</f>
        <v>0</v>
      </c>
      <c r="F44" s="442"/>
      <c r="G44" s="442"/>
      <c r="H44" s="442"/>
      <c r="I44" s="442"/>
      <c r="J44" s="442"/>
      <c r="K44" s="442"/>
      <c r="L44" s="319"/>
    </row>
    <row r="45" spans="1:12">
      <c r="A45" s="408"/>
      <c r="B45" s="442"/>
      <c r="C45" s="442"/>
      <c r="D45" s="442"/>
      <c r="E45" s="442"/>
      <c r="F45" s="442"/>
      <c r="G45" s="442"/>
      <c r="H45" s="442"/>
      <c r="I45" s="442"/>
      <c r="J45" s="442"/>
      <c r="K45" s="442"/>
      <c r="L45" s="319"/>
    </row>
    <row r="46" spans="1:12">
      <c r="A46" s="408"/>
      <c r="B46" s="442"/>
      <c r="C46" s="442"/>
      <c r="D46" s="442"/>
      <c r="E46" s="442"/>
      <c r="F46" s="442"/>
      <c r="G46" s="442"/>
      <c r="H46" s="442"/>
      <c r="I46" s="442"/>
      <c r="J46" s="442"/>
      <c r="K46" s="442"/>
      <c r="L46" s="319"/>
    </row>
    <row r="47" spans="1:12" ht="11.25" customHeight="1">
      <c r="A47" s="408"/>
      <c r="B47" s="442"/>
      <c r="C47" s="442"/>
      <c r="D47" s="442"/>
      <c r="E47" s="442"/>
      <c r="F47" s="442"/>
      <c r="G47" s="442"/>
      <c r="H47" s="442"/>
      <c r="I47" s="442"/>
      <c r="J47" s="442"/>
      <c r="K47" s="442"/>
      <c r="L47" s="319"/>
    </row>
    <row r="48" spans="1:12">
      <c r="A48" s="408"/>
      <c r="B48" s="442"/>
      <c r="C48" s="442"/>
      <c r="D48" s="442"/>
      <c r="E48" s="442"/>
      <c r="F48" s="442"/>
      <c r="G48" s="442"/>
      <c r="H48" s="442"/>
      <c r="I48" s="442"/>
      <c r="J48" s="442"/>
      <c r="K48" s="442"/>
      <c r="L48" s="319"/>
    </row>
    <row r="49" spans="2:12">
      <c r="B49" s="319"/>
      <c r="C49" s="319"/>
      <c r="D49" s="319"/>
      <c r="E49" s="319"/>
      <c r="F49" s="319"/>
      <c r="G49" s="319"/>
      <c r="H49" s="319"/>
      <c r="I49" s="319"/>
      <c r="J49" s="319"/>
      <c r="K49" s="319"/>
      <c r="L49" s="319"/>
    </row>
    <row r="50" spans="2:12">
      <c r="B50" s="319"/>
      <c r="C50" s="319"/>
      <c r="D50" s="319"/>
      <c r="E50" s="319"/>
      <c r="F50" s="319"/>
      <c r="G50" s="319"/>
      <c r="H50" s="319"/>
      <c r="I50" s="319"/>
      <c r="J50" s="319"/>
      <c r="K50" s="319"/>
      <c r="L50" s="319"/>
    </row>
    <row r="52" spans="2:12" ht="11.25" customHeight="1"/>
  </sheetData>
  <sheetProtection algorithmName="SHA-512" hashValue="wrPzY2FAyuE8x2dO7FrHyTLOyVhKNQZtfP9d8JHefRMAuXhMKh5wpDOnOKkzW/PY9XszYfE/op4jWdbicCO3BA==" saltValue="I9FmkfCVGZ3GNp1hrv9ZIQ==" spinCount="100000" sheet="1"/>
  <mergeCells count="7">
    <mergeCell ref="B1:E1"/>
    <mergeCell ref="D15:F15"/>
    <mergeCell ref="D16:F16"/>
    <mergeCell ref="D2:F5"/>
    <mergeCell ref="D6:F7"/>
    <mergeCell ref="F8:F11"/>
    <mergeCell ref="F13:F14"/>
  </mergeCells>
  <conditionalFormatting sqref="C12">
    <cfRule type="cellIs" dxfId="250" priority="34" operator="greaterThan">
      <formula>0</formula>
    </cfRule>
  </conditionalFormatting>
  <conditionalFormatting sqref="C12">
    <cfRule type="cellIs" dxfId="249" priority="35" operator="greaterThan">
      <formula>0</formula>
    </cfRule>
  </conditionalFormatting>
  <conditionalFormatting sqref="C12">
    <cfRule type="cellIs" dxfId="248" priority="39" operator="greaterThan">
      <formula>0</formula>
    </cfRule>
  </conditionalFormatting>
  <conditionalFormatting sqref="C12">
    <cfRule type="cellIs" dxfId="247" priority="38" operator="greaterThan">
      <formula>0</formula>
    </cfRule>
  </conditionalFormatting>
  <conditionalFormatting sqref="C12">
    <cfRule type="cellIs" dxfId="246" priority="37" operator="greaterThan">
      <formula>0</formula>
    </cfRule>
  </conditionalFormatting>
  <conditionalFormatting sqref="C12">
    <cfRule type="cellIs" dxfId="245" priority="36" operator="greaterThan">
      <formula>0</formula>
    </cfRule>
  </conditionalFormatting>
  <conditionalFormatting sqref="J3:K17">
    <cfRule type="cellIs" dxfId="244" priority="6" operator="greaterThan">
      <formula>0</formula>
    </cfRule>
    <cfRule type="cellIs" dxfId="243" priority="10" operator="greaterThan">
      <formula>0</formula>
    </cfRule>
  </conditionalFormatting>
  <conditionalFormatting sqref="J3:J17">
    <cfRule type="cellIs" dxfId="242" priority="11" operator="greaterThan">
      <formula>0</formula>
    </cfRule>
    <cfRule type="cellIs" dxfId="241" priority="12" operator="greaterThan">
      <formula>0</formula>
    </cfRule>
  </conditionalFormatting>
  <conditionalFormatting sqref="H10:H12">
    <cfRule type="iconSet" priority="32">
      <iconSet iconSet="3Symbols">
        <cfvo type="percent" val="0"/>
        <cfvo type="percent" val="33"/>
        <cfvo type="percent" val="67"/>
      </iconSet>
    </cfRule>
    <cfRule type="expression" priority="33">
      <formula>"H71=1"</formula>
    </cfRule>
  </conditionalFormatting>
  <conditionalFormatting sqref="H10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I3:I4 I6:I8 I10:I17">
    <cfRule type="cellIs" dxfId="240" priority="28" operator="equal">
      <formula>"ДА"</formula>
    </cfRule>
    <cfRule type="cellIs" dxfId="239" priority="29" operator="equal">
      <formula>"НЕТ"</formula>
    </cfRule>
  </conditionalFormatting>
  <conditionalFormatting sqref="I3:I4 I6:I8">
    <cfRule type="colorScale" priority="3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38" priority="25" operator="equal">
      <formula>"ДА"</formula>
    </cfRule>
    <cfRule type="cellIs" dxfId="237" priority="26" operator="equal">
      <formula>"НЕТ"</formula>
    </cfRule>
  </conditionalFormatting>
  <conditionalFormatting sqref="I5">
    <cfRule type="cellIs" dxfId="236" priority="22" operator="equal">
      <formula>"ДА"</formula>
    </cfRule>
    <cfRule type="cellIs" dxfId="235" priority="23" operator="equal">
      <formula>"НЕТ"</formula>
    </cfRule>
  </conditionalFormatting>
  <conditionalFormatting sqref="I9">
    <cfRule type="colorScale" priority="2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234" priority="18" operator="equal">
      <formula>"ДА"</formula>
    </cfRule>
    <cfRule type="cellIs" dxfId="233" priority="19" operator="equal">
      <formula>"НЕТ"</formula>
    </cfRule>
  </conditionalFormatting>
  <conditionalFormatting sqref="I5">
    <cfRule type="colorScale" priority="2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0">
      <iconSet iconSet="3Symbols">
        <cfvo type="percent" val="0"/>
        <cfvo type="percent" val="33"/>
        <cfvo type="percent" val="67"/>
      </iconSet>
    </cfRule>
    <cfRule type="expression" priority="21">
      <formula>"H71=1"</formula>
    </cfRule>
  </conditionalFormatting>
  <conditionalFormatting sqref="I14">
    <cfRule type="cellIs" dxfId="232" priority="14" operator="equal">
      <formula>"ДА"</formula>
    </cfRule>
    <cfRule type="cellIs" dxfId="231" priority="15" operator="equal">
      <formula>"НЕТ"</formula>
    </cfRule>
  </conditionalFormatting>
  <conditionalFormatting sqref="H14">
    <cfRule type="iconSet" priority="16">
      <iconSet iconSet="3Symbols">
        <cfvo type="percent" val="0"/>
        <cfvo type="percent" val="33"/>
        <cfvo type="percent" val="67"/>
      </iconSet>
    </cfRule>
    <cfRule type="expression" priority="17">
      <formula>"H71=1"</formula>
    </cfRule>
  </conditionalFormatting>
  <conditionalFormatting sqref="K3:K17">
    <cfRule type="cellIs" dxfId="230" priority="13" operator="greaterThan">
      <formula>0</formula>
    </cfRule>
  </conditionalFormatting>
  <conditionalFormatting sqref="C2:C14">
    <cfRule type="cellIs" dxfId="229" priority="9" operator="greaterThan">
      <formula>0</formula>
    </cfRule>
  </conditionalFormatting>
  <conditionalFormatting sqref="C19:E29 C31:E40 C43:E43">
    <cfRule type="cellIs" dxfId="228" priority="8" operator="greaterThan">
      <formula>0</formula>
    </cfRule>
  </conditionalFormatting>
  <conditionalFormatting sqref="E44">
    <cfRule type="cellIs" dxfId="227" priority="7" operator="greaterThan">
      <formula>0</formula>
    </cfRule>
  </conditionalFormatting>
  <conditionalFormatting sqref="C30">
    <cfRule type="cellIs" dxfId="226" priority="3" operator="greaterThan">
      <formula>0</formula>
    </cfRule>
  </conditionalFormatting>
  <conditionalFormatting sqref="D30:E30">
    <cfRule type="cellIs" dxfId="225" priority="5" operator="greaterThan">
      <formula>0</formula>
    </cfRule>
  </conditionalFormatting>
  <conditionalFormatting sqref="C30">
    <cfRule type="cellIs" dxfId="224" priority="4" operator="greaterThan">
      <formula>0</formula>
    </cfRule>
  </conditionalFormatting>
  <conditionalFormatting sqref="C15:C16">
    <cfRule type="cellIs" dxfId="223" priority="2" operator="greaterThan">
      <formula>0</formula>
    </cfRule>
  </conditionalFormatting>
  <conditionalFormatting sqref="C41:E42">
    <cfRule type="cellIs" dxfId="22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/>
  <dimension ref="A1:M68"/>
  <sheetViews>
    <sheetView workbookViewId="0">
      <pane ySplit="23" topLeftCell="A41" activePane="bottomLeft" state="frozen"/>
      <selection pane="bottomLeft" activeCell="H3" sqref="H3:K8"/>
    </sheetView>
  </sheetViews>
  <sheetFormatPr defaultRowHeight="11.25"/>
  <cols>
    <col min="2" max="2" width="51.1640625" customWidth="1"/>
    <col min="3" max="3" width="11.83203125" customWidth="1"/>
    <col min="4" max="4" width="12" customWidth="1"/>
    <col min="5" max="5" width="13.5" customWidth="1"/>
    <col min="6" max="6" width="20.6640625" customWidth="1"/>
    <col min="7" max="7" width="4.33203125" customWidth="1"/>
    <col min="8" max="8" width="45.83203125" customWidth="1"/>
    <col min="9" max="9" width="4.83203125" customWidth="1"/>
  </cols>
  <sheetData>
    <row r="1" spans="1:13" ht="51" customHeight="1" thickBot="1">
      <c r="A1" s="408"/>
      <c r="B1" s="1313"/>
      <c r="C1" s="1313"/>
      <c r="D1" s="1313"/>
      <c r="E1" s="1313"/>
      <c r="F1" s="408"/>
      <c r="G1" s="408"/>
      <c r="H1" s="408"/>
      <c r="I1" s="408"/>
      <c r="J1" s="408"/>
      <c r="K1" s="408"/>
      <c r="L1" s="408"/>
      <c r="M1" s="408"/>
    </row>
    <row r="2" spans="1:13" ht="12" customHeight="1" thickBot="1">
      <c r="A2" s="408"/>
      <c r="B2" s="655" t="s">
        <v>556</v>
      </c>
      <c r="C2" s="611">
        <v>0</v>
      </c>
      <c r="D2" s="1238" t="s">
        <v>595</v>
      </c>
      <c r="E2" s="1239"/>
      <c r="F2" s="1240"/>
      <c r="G2" s="408"/>
      <c r="H2" s="412" t="s">
        <v>485</v>
      </c>
      <c r="I2" s="691" t="s">
        <v>604</v>
      </c>
      <c r="J2" s="413" t="s">
        <v>4</v>
      </c>
      <c r="K2" s="414" t="s">
        <v>8</v>
      </c>
      <c r="L2" s="408"/>
      <c r="M2" s="408"/>
    </row>
    <row r="3" spans="1:13" ht="12" customHeight="1">
      <c r="A3" s="408"/>
      <c r="B3" s="656" t="s">
        <v>557</v>
      </c>
      <c r="C3" s="253">
        <v>0</v>
      </c>
      <c r="D3" s="1258"/>
      <c r="E3" s="1244"/>
      <c r="F3" s="1245"/>
      <c r="G3" s="408"/>
      <c r="H3" s="416" t="s">
        <v>489</v>
      </c>
      <c r="I3" s="626" t="str">
        <f>IF(AND($C$9+$C$10+$C$11=1,$C$12+$C$13+$C$14=0,$C$15=1),"ДА","НЕТ")</f>
        <v>НЕТ</v>
      </c>
      <c r="J3" s="613"/>
      <c r="K3" s="322">
        <f>IF(I3="ДА",($C$6+$C$7+$C$8)*J3,0)</f>
        <v>0</v>
      </c>
      <c r="L3" s="408"/>
      <c r="M3" s="408"/>
    </row>
    <row r="4" spans="1:13" ht="12" customHeight="1">
      <c r="A4" s="408"/>
      <c r="B4" s="705" t="s">
        <v>558</v>
      </c>
      <c r="C4" s="621">
        <v>0</v>
      </c>
      <c r="D4" s="1258"/>
      <c r="E4" s="1244"/>
      <c r="F4" s="1245"/>
      <c r="G4" s="408"/>
      <c r="H4" s="421" t="s">
        <v>486</v>
      </c>
      <c r="I4" s="627" t="str">
        <f>IF(AND($C$9+$C$10+$C$11=1,$C$12+$C$13+$C$14=0,$C$15=3),"ДА","НЕТ")</f>
        <v>НЕТ</v>
      </c>
      <c r="J4" s="614"/>
      <c r="K4" s="326">
        <f t="shared" ref="K4:K19" si="0">IF(I4="ДА",($C$6+$C$7+$C$8)*J4,0)</f>
        <v>0</v>
      </c>
      <c r="L4" s="408"/>
      <c r="M4" s="408"/>
    </row>
    <row r="5" spans="1:13" ht="12" customHeight="1" thickBot="1">
      <c r="A5" s="408"/>
      <c r="B5" s="706" t="s">
        <v>559</v>
      </c>
      <c r="C5" s="612">
        <v>0</v>
      </c>
      <c r="D5" s="1241"/>
      <c r="E5" s="1242"/>
      <c r="F5" s="1243"/>
      <c r="G5" s="408"/>
      <c r="H5" s="421" t="s">
        <v>591</v>
      </c>
      <c r="I5" s="627" t="str">
        <f>IF(AND($C$9+$C$10+$C$11=1,$C$12+$C$13+$C$14=0,$C$15=3),"ДА","НЕТ")</f>
        <v>НЕТ</v>
      </c>
      <c r="J5" s="614"/>
      <c r="K5" s="326">
        <f t="shared" si="0"/>
        <v>0</v>
      </c>
      <c r="L5" s="408"/>
      <c r="M5" s="408"/>
    </row>
    <row r="6" spans="1:13" ht="12" customHeight="1">
      <c r="A6" s="408"/>
      <c r="B6" s="655" t="s">
        <v>562</v>
      </c>
      <c r="C6" s="586">
        <v>0</v>
      </c>
      <c r="D6" s="1238" t="s">
        <v>597</v>
      </c>
      <c r="E6" s="1239"/>
      <c r="F6" s="1240"/>
      <c r="G6" s="492"/>
      <c r="H6" s="421" t="s">
        <v>487</v>
      </c>
      <c r="I6" s="627" t="str">
        <f>IF(AND($C$9+$C$10+$C$11=1,$C$12+$C$13+$C$14=0,$C$15=2),"ДА","НЕТ")</f>
        <v>НЕТ</v>
      </c>
      <c r="J6" s="614"/>
      <c r="K6" s="326">
        <f t="shared" si="0"/>
        <v>0</v>
      </c>
      <c r="L6" s="408"/>
      <c r="M6" s="408"/>
    </row>
    <row r="7" spans="1:13" ht="12" customHeight="1">
      <c r="A7" s="408"/>
      <c r="B7" s="656" t="s">
        <v>561</v>
      </c>
      <c r="C7" s="587">
        <v>0</v>
      </c>
      <c r="D7" s="1258"/>
      <c r="E7" s="1244"/>
      <c r="F7" s="1245"/>
      <c r="G7" s="526"/>
      <c r="H7" s="421" t="s">
        <v>488</v>
      </c>
      <c r="I7" s="627" t="str">
        <f>IF(AND($C$9+$C$10+$C$11=1,$C$12+$C$13+$C$14=0,$C$15=2),"ДА","НЕТ")</f>
        <v>НЕТ</v>
      </c>
      <c r="J7" s="614"/>
      <c r="K7" s="326">
        <f t="shared" si="0"/>
        <v>0</v>
      </c>
      <c r="L7" s="408"/>
      <c r="M7" s="408"/>
    </row>
    <row r="8" spans="1:13" ht="12" customHeight="1" thickBot="1">
      <c r="A8" s="408"/>
      <c r="B8" s="657" t="s">
        <v>678</v>
      </c>
      <c r="C8" s="585">
        <v>0</v>
      </c>
      <c r="D8" s="1241"/>
      <c r="E8" s="1242"/>
      <c r="F8" s="1243"/>
      <c r="G8" s="526"/>
      <c r="H8" s="421" t="s">
        <v>494</v>
      </c>
      <c r="I8" s="627" t="str">
        <f>IF(AND($C$9+$C$10+$C$11=1,$C$12+$C$13+$C$14=0,$C$15=2),"ДА","НЕТ")</f>
        <v>НЕТ</v>
      </c>
      <c r="J8" s="614"/>
      <c r="K8" s="326">
        <f t="shared" si="0"/>
        <v>0</v>
      </c>
      <c r="L8" s="408"/>
      <c r="M8" s="408"/>
    </row>
    <row r="9" spans="1:13" ht="12" customHeight="1">
      <c r="A9" s="408"/>
      <c r="B9" s="655" t="s">
        <v>498</v>
      </c>
      <c r="C9" s="578">
        <v>0</v>
      </c>
      <c r="D9" s="669" t="s">
        <v>287</v>
      </c>
      <c r="E9" s="707" t="s">
        <v>255</v>
      </c>
      <c r="F9" s="1246" t="s">
        <v>597</v>
      </c>
      <c r="G9" s="408"/>
      <c r="H9" s="416" t="s">
        <v>590</v>
      </c>
      <c r="I9" s="627" t="str">
        <f>IF(AND($C$9+$C$10+$C$11=1,$C$12+$C$13+$C$14=0,$C$15=1),"ДА","НЕТ")</f>
        <v>НЕТ</v>
      </c>
      <c r="J9" s="613"/>
      <c r="K9" s="322">
        <f t="shared" si="0"/>
        <v>0</v>
      </c>
      <c r="L9" s="408"/>
      <c r="M9" s="408"/>
    </row>
    <row r="10" spans="1:13" ht="12" customHeight="1">
      <c r="A10" s="408"/>
      <c r="B10" s="656" t="s">
        <v>499</v>
      </c>
      <c r="C10" s="584">
        <v>0</v>
      </c>
      <c r="D10" s="661" t="s">
        <v>287</v>
      </c>
      <c r="E10" s="708" t="s">
        <v>255</v>
      </c>
      <c r="F10" s="1247"/>
      <c r="G10" s="408"/>
      <c r="H10" s="416" t="s">
        <v>383</v>
      </c>
      <c r="I10" s="627" t="str">
        <f>IF(AND($C$9+$C$10+$C$11+$C$14=0,$C$12+$C$13=1,$C$15=1),"ДА","НЕТ")</f>
        <v>НЕТ</v>
      </c>
      <c r="J10" s="615"/>
      <c r="K10" s="329">
        <f t="shared" si="0"/>
        <v>0</v>
      </c>
      <c r="L10" s="408"/>
      <c r="M10" s="408"/>
    </row>
    <row r="11" spans="1:13" ht="12" customHeight="1">
      <c r="A11" s="408"/>
      <c r="B11" s="656" t="s">
        <v>587</v>
      </c>
      <c r="C11" s="584">
        <v>0</v>
      </c>
      <c r="D11" s="661" t="s">
        <v>287</v>
      </c>
      <c r="E11" s="708" t="s">
        <v>255</v>
      </c>
      <c r="F11" s="1247"/>
      <c r="G11" s="408"/>
      <c r="H11" s="419" t="s">
        <v>384</v>
      </c>
      <c r="I11" s="627" t="str">
        <f>IF(AND($C$9+$C$10+$C$11+$C$14=0,$C$12+$C$13=1,$C$15=1),"ДА","НЕТ")</f>
        <v>НЕТ</v>
      </c>
      <c r="J11" s="615"/>
      <c r="K11" s="329">
        <f t="shared" si="0"/>
        <v>0</v>
      </c>
      <c r="L11" s="408"/>
      <c r="M11" s="408"/>
    </row>
    <row r="12" spans="1:13" ht="12" customHeight="1">
      <c r="A12" s="408"/>
      <c r="B12" s="658" t="s">
        <v>500</v>
      </c>
      <c r="C12" s="581">
        <v>0</v>
      </c>
      <c r="D12" s="659" t="s">
        <v>287</v>
      </c>
      <c r="E12" s="709" t="s">
        <v>255</v>
      </c>
      <c r="F12" s="1247"/>
      <c r="G12" s="408"/>
      <c r="H12" s="419" t="s">
        <v>385</v>
      </c>
      <c r="I12" s="627" t="str">
        <f>IF(AND($C$9+$C$10+$C$11+$C$14=0,$C$12+$C$13=1,$C$15=1),"ДА","НЕТ")</f>
        <v>НЕТ</v>
      </c>
      <c r="J12" s="616"/>
      <c r="K12" s="329">
        <f t="shared" si="0"/>
        <v>0</v>
      </c>
      <c r="L12" s="408"/>
      <c r="M12" s="408"/>
    </row>
    <row r="13" spans="1:13" ht="12" customHeight="1">
      <c r="A13" s="408"/>
      <c r="B13" s="656" t="s">
        <v>501</v>
      </c>
      <c r="C13" s="584">
        <v>0</v>
      </c>
      <c r="D13" s="661" t="s">
        <v>287</v>
      </c>
      <c r="E13" s="708" t="s">
        <v>255</v>
      </c>
      <c r="F13" s="1247"/>
      <c r="G13" s="408"/>
      <c r="H13" s="419" t="s">
        <v>592</v>
      </c>
      <c r="I13" s="627" t="str">
        <f>IF(AND($C$9+$C$10+C11+$C$12+$C$13=0,$C$14=1,$C$15=1),"ДА","НЕТ")</f>
        <v>НЕТ</v>
      </c>
      <c r="J13" s="616"/>
      <c r="K13" s="329">
        <f t="shared" si="0"/>
        <v>0</v>
      </c>
      <c r="L13" s="408"/>
      <c r="M13" s="408"/>
    </row>
    <row r="14" spans="1:13" ht="12" customHeight="1" thickBot="1">
      <c r="A14" s="408"/>
      <c r="B14" s="657" t="s">
        <v>588</v>
      </c>
      <c r="C14" s="588">
        <v>0</v>
      </c>
      <c r="D14" s="671" t="s">
        <v>287</v>
      </c>
      <c r="E14" s="710" t="s">
        <v>255</v>
      </c>
      <c r="F14" s="1248"/>
      <c r="G14" s="408"/>
      <c r="H14" s="419" t="s">
        <v>592</v>
      </c>
      <c r="I14" s="627" t="str">
        <f>IF(AND($C$9+$C$10+C12+$C$12+$C$13=0,$C$14=1,$C$15=1),"ДА","НЕТ")</f>
        <v>НЕТ</v>
      </c>
      <c r="J14" s="616"/>
      <c r="K14" s="329">
        <f t="shared" si="0"/>
        <v>0</v>
      </c>
      <c r="L14" s="408"/>
      <c r="M14" s="408"/>
    </row>
    <row r="15" spans="1:13" ht="12" customHeight="1" thickBot="1">
      <c r="A15" s="408"/>
      <c r="B15" s="517" t="s">
        <v>589</v>
      </c>
      <c r="C15" s="623">
        <v>0</v>
      </c>
      <c r="D15" s="629" t="s">
        <v>619</v>
      </c>
      <c r="E15" s="519" t="s">
        <v>620</v>
      </c>
      <c r="F15" s="520" t="s">
        <v>621</v>
      </c>
      <c r="G15" s="408"/>
      <c r="H15" s="416" t="s">
        <v>388</v>
      </c>
      <c r="I15" s="627" t="str">
        <f>IF(AND($C$9+$C$10+$C$11+$C$14=0,$C$12+$C$13=1,$C$15=2),"ДА","НЕТ")</f>
        <v>НЕТ</v>
      </c>
      <c r="J15" s="615"/>
      <c r="K15" s="329">
        <f t="shared" si="0"/>
        <v>0</v>
      </c>
      <c r="L15" s="408"/>
      <c r="M15" s="408"/>
    </row>
    <row r="16" spans="1:13" ht="12" customHeight="1">
      <c r="A16" s="408"/>
      <c r="B16" s="655" t="s">
        <v>361</v>
      </c>
      <c r="C16" s="578">
        <v>0</v>
      </c>
      <c r="D16" s="669" t="s">
        <v>287</v>
      </c>
      <c r="E16" s="707" t="s">
        <v>255</v>
      </c>
      <c r="F16" s="1246" t="s">
        <v>597</v>
      </c>
      <c r="G16" s="408"/>
      <c r="H16" s="419" t="s">
        <v>389</v>
      </c>
      <c r="I16" s="627" t="str">
        <f>IF(AND($C$9+$C$10+$C$11+$C$14=0,$C$12+$C$13=1,$C$15=2),"ДА","НЕТ")</f>
        <v>НЕТ</v>
      </c>
      <c r="J16" s="615"/>
      <c r="K16" s="329">
        <f t="shared" si="0"/>
        <v>0</v>
      </c>
      <c r="L16" s="408"/>
      <c r="M16" s="408"/>
    </row>
    <row r="17" spans="1:13" ht="12" customHeight="1">
      <c r="A17" s="408"/>
      <c r="B17" s="656" t="s">
        <v>362</v>
      </c>
      <c r="C17" s="584">
        <v>0</v>
      </c>
      <c r="D17" s="661" t="s">
        <v>287</v>
      </c>
      <c r="E17" s="708" t="s">
        <v>255</v>
      </c>
      <c r="F17" s="1247"/>
      <c r="G17" s="408"/>
      <c r="H17" s="419" t="s">
        <v>390</v>
      </c>
      <c r="I17" s="627" t="str">
        <f>IF(AND($C$9+$C$10+$C$11+$C$14=0,$C$12+$C$13=1,$C$15=2),"ДА","НЕТ")</f>
        <v>НЕТ</v>
      </c>
      <c r="J17" s="615"/>
      <c r="K17" s="326">
        <f t="shared" si="0"/>
        <v>0</v>
      </c>
      <c r="L17" s="408"/>
      <c r="M17" s="408"/>
    </row>
    <row r="18" spans="1:13" ht="12" customHeight="1">
      <c r="A18" s="408"/>
      <c r="B18" s="656" t="s">
        <v>467</v>
      </c>
      <c r="C18" s="584">
        <v>0</v>
      </c>
      <c r="D18" s="661" t="s">
        <v>287</v>
      </c>
      <c r="E18" s="708" t="s">
        <v>255</v>
      </c>
      <c r="F18" s="1247"/>
      <c r="G18" s="408"/>
      <c r="H18" s="416" t="s">
        <v>593</v>
      </c>
      <c r="I18" s="626" t="str">
        <f>IF(AND($C$9+$C$10+C16+$C$12+$C$13=0,$C$14=1,$C$15=2),"ДА","НЕТ")</f>
        <v>НЕТ</v>
      </c>
      <c r="J18" s="617"/>
      <c r="K18" s="333">
        <f t="shared" si="0"/>
        <v>0</v>
      </c>
      <c r="L18" s="408"/>
      <c r="M18" s="408"/>
    </row>
    <row r="19" spans="1:13" ht="12" customHeight="1" thickBot="1">
      <c r="A19" s="408"/>
      <c r="B19" s="706" t="s">
        <v>466</v>
      </c>
      <c r="C19" s="579">
        <v>0</v>
      </c>
      <c r="D19" s="671" t="s">
        <v>287</v>
      </c>
      <c r="E19" s="710" t="s">
        <v>255</v>
      </c>
      <c r="F19" s="1248"/>
      <c r="G19" s="408"/>
      <c r="H19" s="440" t="s">
        <v>594</v>
      </c>
      <c r="I19" s="637" t="str">
        <f>IF(AND($C$9+$C$10+C17+$C$12+$C$13=0,$C$14=1,$C$15=2),"ДА","НЕТ")</f>
        <v>НЕТ</v>
      </c>
      <c r="J19" s="618"/>
      <c r="K19" s="336">
        <f t="shared" si="0"/>
        <v>0</v>
      </c>
      <c r="L19" s="408"/>
      <c r="M19" s="408"/>
    </row>
    <row r="20" spans="1:13" ht="12" customHeight="1">
      <c r="A20" s="408"/>
      <c r="B20" s="410" t="s">
        <v>147</v>
      </c>
      <c r="C20" s="467">
        <v>0</v>
      </c>
      <c r="D20" s="1249" t="s">
        <v>686</v>
      </c>
      <c r="E20" s="1250"/>
      <c r="F20" s="1251"/>
      <c r="G20" s="408"/>
      <c r="H20" s="408"/>
      <c r="I20" s="408"/>
      <c r="J20" s="408"/>
      <c r="K20" s="408"/>
      <c r="L20" s="408"/>
      <c r="M20" s="408"/>
    </row>
    <row r="21" spans="1:13" s="73" customFormat="1" ht="12" customHeight="1" thickBot="1">
      <c r="A21" s="643"/>
      <c r="B21" s="415" t="s">
        <v>146</v>
      </c>
      <c r="C21" s="466">
        <v>0</v>
      </c>
      <c r="D21" s="1255" t="s">
        <v>687</v>
      </c>
      <c r="E21" s="1256"/>
      <c r="F21" s="1257"/>
      <c r="G21" s="643"/>
      <c r="H21" s="643"/>
      <c r="I21" s="643"/>
      <c r="J21" s="643"/>
      <c r="K21" s="643"/>
      <c r="L21" s="643"/>
      <c r="M21" s="643"/>
    </row>
    <row r="22" spans="1:13" ht="12" customHeight="1" thickBot="1">
      <c r="A22" s="408"/>
      <c r="B22" s="408"/>
      <c r="C22" s="408"/>
      <c r="D22" s="408"/>
      <c r="E22" s="408"/>
      <c r="F22" s="408"/>
      <c r="G22" s="408"/>
      <c r="H22" s="408"/>
      <c r="I22" s="408"/>
      <c r="J22" s="408"/>
      <c r="K22" s="408"/>
      <c r="L22" s="408"/>
      <c r="M22" s="408"/>
    </row>
    <row r="23" spans="1:13" ht="12" customHeight="1">
      <c r="A23" s="408"/>
      <c r="B23" s="711" t="s">
        <v>5</v>
      </c>
      <c r="C23" s="712" t="s">
        <v>0</v>
      </c>
      <c r="D23" s="713" t="s">
        <v>4</v>
      </c>
      <c r="E23" s="714" t="s">
        <v>8</v>
      </c>
      <c r="F23" s="408"/>
      <c r="G23" s="408"/>
      <c r="H23" s="408"/>
      <c r="I23" s="408"/>
      <c r="J23" s="408"/>
      <c r="K23" s="408"/>
      <c r="L23" s="408"/>
      <c r="M23" s="408"/>
    </row>
    <row r="24" spans="1:13" ht="12" customHeight="1">
      <c r="A24" s="408"/>
      <c r="B24" s="682" t="s">
        <v>563</v>
      </c>
      <c r="C24" s="270">
        <f>(C6+C7+C8)*2*C18</f>
        <v>0</v>
      </c>
      <c r="D24" s="255"/>
      <c r="E24" s="279">
        <f t="shared" ref="E24:E63" si="1">C24*D24</f>
        <v>0</v>
      </c>
      <c r="F24" s="408"/>
      <c r="G24" s="408"/>
      <c r="H24" s="408"/>
      <c r="I24" s="408"/>
      <c r="J24" s="408"/>
      <c r="K24" s="408"/>
      <c r="L24" s="408"/>
      <c r="M24" s="408"/>
    </row>
    <row r="25" spans="1:13" ht="12" customHeight="1">
      <c r="A25" s="408"/>
      <c r="B25" s="682" t="s">
        <v>564</v>
      </c>
      <c r="C25" s="270">
        <f>2*C19*(C6+C7+C8)</f>
        <v>0</v>
      </c>
      <c r="D25" s="856"/>
      <c r="E25" s="279">
        <f t="shared" si="1"/>
        <v>0</v>
      </c>
      <c r="F25" s="408"/>
      <c r="G25" s="408"/>
      <c r="H25" s="408"/>
      <c r="I25" s="408"/>
      <c r="J25" s="408"/>
      <c r="K25" s="408"/>
      <c r="L25" s="408"/>
      <c r="M25" s="408"/>
    </row>
    <row r="26" spans="1:13" ht="12" customHeight="1">
      <c r="A26" s="408"/>
      <c r="B26" s="682" t="s">
        <v>117</v>
      </c>
      <c r="C26" s="270">
        <f>(C17+C16)*4*(C6+C7+C8)</f>
        <v>0</v>
      </c>
      <c r="D26" s="856"/>
      <c r="E26" s="279">
        <f t="shared" si="1"/>
        <v>0</v>
      </c>
      <c r="F26" s="408"/>
      <c r="G26" s="408"/>
      <c r="H26" s="408"/>
      <c r="I26" s="408"/>
      <c r="J26" s="408"/>
      <c r="K26" s="408"/>
      <c r="L26" s="408"/>
      <c r="M26" s="408"/>
    </row>
    <row r="27" spans="1:13" ht="12" customHeight="1">
      <c r="A27" s="408"/>
      <c r="B27" s="683" t="s">
        <v>655</v>
      </c>
      <c r="C27" s="271">
        <f>EVEN(ROUNDDOWN(IF((C6+C7+C8)&gt;0,((C2+C3)/0.5)*(C6+C7+C8),0),0))</f>
        <v>0</v>
      </c>
      <c r="D27" s="255"/>
      <c r="E27" s="279">
        <f t="shared" si="1"/>
        <v>0</v>
      </c>
      <c r="F27" s="408"/>
      <c r="G27" s="408"/>
      <c r="H27" s="408"/>
      <c r="I27" s="408"/>
      <c r="J27" s="408"/>
      <c r="K27" s="408"/>
      <c r="L27" s="408"/>
      <c r="M27" s="408"/>
    </row>
    <row r="28" spans="1:13" ht="12" customHeight="1">
      <c r="A28" s="408"/>
      <c r="B28" s="683" t="s">
        <v>420</v>
      </c>
      <c r="C28" s="271">
        <f>IF(AND(C9+C10+C11&gt;0,C12+C13+C14=0),(C6+C7+C8)*2,0)</f>
        <v>0</v>
      </c>
      <c r="D28" s="255"/>
      <c r="E28" s="279">
        <f t="shared" si="1"/>
        <v>0</v>
      </c>
      <c r="F28" s="408"/>
      <c r="G28" s="408"/>
      <c r="H28" s="408"/>
      <c r="I28" s="408"/>
      <c r="J28" s="408"/>
      <c r="K28" s="408"/>
      <c r="L28" s="408"/>
      <c r="M28" s="408"/>
    </row>
    <row r="29" spans="1:13" ht="12" customHeight="1">
      <c r="A29" s="408"/>
      <c r="B29" s="683" t="s">
        <v>555</v>
      </c>
      <c r="C29" s="271">
        <f>C6+C7+C8</f>
        <v>0</v>
      </c>
      <c r="D29" s="255"/>
      <c r="E29" s="279">
        <f t="shared" si="1"/>
        <v>0</v>
      </c>
      <c r="F29" s="408"/>
      <c r="G29" s="408"/>
      <c r="H29" s="408"/>
      <c r="I29" s="408"/>
      <c r="J29" s="408"/>
      <c r="K29" s="408"/>
      <c r="L29" s="408"/>
      <c r="M29" s="408"/>
    </row>
    <row r="30" spans="1:13" ht="12" customHeight="1">
      <c r="A30" s="408"/>
      <c r="B30" s="683" t="s">
        <v>511</v>
      </c>
      <c r="C30" s="271">
        <f>IF(AND(C12+C13+C14&gt;0,C9+C10+C11=0),(C6+C7+C8)*2,0)</f>
        <v>0</v>
      </c>
      <c r="D30" s="255"/>
      <c r="E30" s="279">
        <f t="shared" si="1"/>
        <v>0</v>
      </c>
      <c r="F30" s="408"/>
      <c r="G30" s="408"/>
      <c r="H30" s="408"/>
      <c r="I30" s="408"/>
      <c r="J30" s="408"/>
      <c r="K30" s="408"/>
      <c r="L30" s="408"/>
      <c r="M30" s="408"/>
    </row>
    <row r="31" spans="1:13" ht="12" customHeight="1">
      <c r="A31" s="408"/>
      <c r="B31" s="682" t="s">
        <v>656</v>
      </c>
      <c r="C31" s="270">
        <f>C6+C7+C8</f>
        <v>0</v>
      </c>
      <c r="D31" s="255"/>
      <c r="E31" s="279">
        <f t="shared" si="1"/>
        <v>0</v>
      </c>
      <c r="F31" s="408"/>
      <c r="G31" s="408"/>
      <c r="H31" s="408"/>
      <c r="I31" s="408"/>
      <c r="J31" s="408"/>
      <c r="K31" s="408"/>
      <c r="L31" s="408"/>
      <c r="M31" s="408"/>
    </row>
    <row r="32" spans="1:13" ht="12" customHeight="1">
      <c r="A32" s="408"/>
      <c r="B32" s="682" t="s">
        <v>657</v>
      </c>
      <c r="C32" s="272">
        <f>C6+C7+C8</f>
        <v>0</v>
      </c>
      <c r="D32" s="255"/>
      <c r="E32" s="279">
        <f t="shared" si="1"/>
        <v>0</v>
      </c>
      <c r="F32" s="408"/>
      <c r="G32" s="408"/>
      <c r="H32" s="408"/>
      <c r="I32" s="408"/>
      <c r="J32" s="408"/>
      <c r="K32" s="408"/>
      <c r="L32" s="408"/>
      <c r="M32" s="408"/>
    </row>
    <row r="33" spans="1:13" ht="12" customHeight="1">
      <c r="A33" s="408"/>
      <c r="B33" s="682" t="s">
        <v>658</v>
      </c>
      <c r="C33" s="270">
        <f>(C6+C7+C8)*2</f>
        <v>0</v>
      </c>
      <c r="D33" s="255"/>
      <c r="E33" s="279">
        <f t="shared" si="1"/>
        <v>0</v>
      </c>
      <c r="F33" s="408"/>
      <c r="G33" s="408"/>
      <c r="H33" s="408"/>
      <c r="I33" s="408"/>
      <c r="J33" s="408"/>
      <c r="K33" s="408"/>
      <c r="L33" s="408"/>
      <c r="M33" s="408"/>
    </row>
    <row r="34" spans="1:13" ht="12" customHeight="1">
      <c r="A34" s="408"/>
      <c r="B34" s="683" t="s">
        <v>445</v>
      </c>
      <c r="C34" s="270">
        <f>IF(C7+C8=0,C6*2,0)</f>
        <v>0</v>
      </c>
      <c r="D34" s="255"/>
      <c r="E34" s="279">
        <f t="shared" si="1"/>
        <v>0</v>
      </c>
      <c r="F34" s="408"/>
      <c r="G34" s="408"/>
      <c r="H34" s="408"/>
      <c r="I34" s="408"/>
      <c r="J34" s="408"/>
      <c r="K34" s="408"/>
      <c r="L34" s="408"/>
      <c r="M34" s="408"/>
    </row>
    <row r="35" spans="1:13" ht="12" customHeight="1">
      <c r="A35" s="408"/>
      <c r="B35" s="683" t="s">
        <v>446</v>
      </c>
      <c r="C35" s="270">
        <f>IF(AND(C6&gt;0,C7+C8=0),C6*4,0)</f>
        <v>0</v>
      </c>
      <c r="D35" s="255"/>
      <c r="E35" s="279">
        <f t="shared" si="1"/>
        <v>0</v>
      </c>
      <c r="F35" s="408"/>
      <c r="G35" s="408"/>
      <c r="H35" s="408"/>
      <c r="I35" s="408"/>
      <c r="J35" s="408"/>
      <c r="K35" s="408"/>
      <c r="L35" s="408"/>
      <c r="M35" s="408"/>
    </row>
    <row r="36" spans="1:13" ht="12" customHeight="1">
      <c r="A36" s="408"/>
      <c r="B36" s="683" t="s">
        <v>652</v>
      </c>
      <c r="C36" s="270">
        <f>IF(AND(C8&gt;0,C6+C7=0),C8*4,0)</f>
        <v>0</v>
      </c>
      <c r="D36" s="255"/>
      <c r="E36" s="279">
        <f>C36*D36</f>
        <v>0</v>
      </c>
      <c r="F36" s="408"/>
      <c r="G36" s="408"/>
      <c r="H36" s="408"/>
      <c r="I36" s="408"/>
      <c r="J36" s="408"/>
      <c r="K36" s="408"/>
      <c r="L36" s="408"/>
      <c r="M36" s="408"/>
    </row>
    <row r="37" spans="1:13" ht="12" customHeight="1">
      <c r="A37" s="408"/>
      <c r="B37" s="683" t="s">
        <v>434</v>
      </c>
      <c r="C37" s="270">
        <f>IF(C6=0,(C7+C8)*2,0)</f>
        <v>0</v>
      </c>
      <c r="D37" s="255"/>
      <c r="E37" s="279">
        <f t="shared" si="1"/>
        <v>0</v>
      </c>
      <c r="F37" s="408"/>
      <c r="G37" s="408"/>
      <c r="H37" s="408"/>
      <c r="I37" s="408"/>
      <c r="J37" s="408"/>
      <c r="K37" s="408"/>
      <c r="L37" s="408"/>
      <c r="M37" s="408"/>
    </row>
    <row r="38" spans="1:13" ht="12" customHeight="1">
      <c r="A38" s="408"/>
      <c r="B38" s="682" t="s">
        <v>474</v>
      </c>
      <c r="C38" s="270">
        <f>(C6+C7+C8)*(C2+C3)</f>
        <v>0</v>
      </c>
      <c r="D38" s="255"/>
      <c r="E38" s="279">
        <f t="shared" si="1"/>
        <v>0</v>
      </c>
      <c r="F38" s="408"/>
      <c r="G38" s="408"/>
      <c r="H38" s="408"/>
      <c r="I38" s="408"/>
      <c r="J38" s="408"/>
      <c r="K38" s="408"/>
      <c r="L38" s="408"/>
      <c r="M38" s="408"/>
    </row>
    <row r="39" spans="1:13" ht="12" customHeight="1">
      <c r="A39" s="408"/>
      <c r="B39" s="682" t="s">
        <v>474</v>
      </c>
      <c r="C39" s="271">
        <f>(C2+C3)*C18*(C6+C7+C8)</f>
        <v>0</v>
      </c>
      <c r="D39" s="255"/>
      <c r="E39" s="279">
        <f t="shared" si="1"/>
        <v>0</v>
      </c>
      <c r="F39" s="526"/>
      <c r="G39" s="408"/>
      <c r="H39" s="408"/>
      <c r="I39" s="408"/>
      <c r="J39" s="408"/>
      <c r="K39" s="408"/>
      <c r="L39" s="408"/>
      <c r="M39" s="408"/>
    </row>
    <row r="40" spans="1:13" ht="12" customHeight="1">
      <c r="A40" s="408"/>
      <c r="B40" s="683" t="s">
        <v>363</v>
      </c>
      <c r="C40" s="271">
        <f>C17*2*(C2+C3)*(C6+C7+C8)</f>
        <v>0</v>
      </c>
      <c r="D40" s="255"/>
      <c r="E40" s="279">
        <f t="shared" si="1"/>
        <v>0</v>
      </c>
      <c r="F40" s="408"/>
      <c r="G40" s="408"/>
      <c r="H40" s="408"/>
      <c r="I40" s="408"/>
      <c r="J40" s="408"/>
      <c r="K40" s="408"/>
      <c r="L40" s="408"/>
      <c r="M40" s="408"/>
    </row>
    <row r="41" spans="1:13" ht="12" customHeight="1">
      <c r="A41" s="408"/>
      <c r="B41" s="683" t="s">
        <v>477</v>
      </c>
      <c r="C41" s="271">
        <f>(C16+C19)*(C2+C3)*(C6+C7+C8)</f>
        <v>0</v>
      </c>
      <c r="D41" s="255"/>
      <c r="E41" s="279">
        <f t="shared" si="1"/>
        <v>0</v>
      </c>
      <c r="F41" s="408"/>
      <c r="G41" s="408"/>
      <c r="H41" s="408"/>
      <c r="I41" s="408"/>
      <c r="J41" s="408"/>
      <c r="K41" s="408"/>
      <c r="L41" s="408"/>
      <c r="M41" s="408"/>
    </row>
    <row r="42" spans="1:13" ht="12" customHeight="1">
      <c r="A42" s="408"/>
      <c r="B42" s="683" t="s">
        <v>645</v>
      </c>
      <c r="C42" s="271">
        <f>C19*(C2+C3)*(C6+C7+C8)</f>
        <v>0</v>
      </c>
      <c r="D42" s="255"/>
      <c r="E42" s="279">
        <f t="shared" si="1"/>
        <v>0</v>
      </c>
      <c r="F42" s="408"/>
      <c r="G42" s="408"/>
      <c r="H42" s="408"/>
      <c r="I42" s="408"/>
      <c r="J42" s="408"/>
      <c r="K42" s="408"/>
      <c r="L42" s="408"/>
      <c r="M42" s="408"/>
    </row>
    <row r="43" spans="1:13" ht="12" customHeight="1">
      <c r="A43" s="408"/>
      <c r="B43" s="683" t="s">
        <v>364</v>
      </c>
      <c r="C43" s="271">
        <f>C16*(C2+C3)*(C6+C7+C8)</f>
        <v>0</v>
      </c>
      <c r="D43" s="255"/>
      <c r="E43" s="279">
        <f t="shared" si="1"/>
        <v>0</v>
      </c>
      <c r="F43" s="408"/>
      <c r="G43" s="408"/>
      <c r="H43" s="408"/>
      <c r="I43" s="408"/>
      <c r="J43" s="408"/>
      <c r="K43" s="408"/>
      <c r="L43" s="408"/>
      <c r="M43" s="408"/>
    </row>
    <row r="44" spans="1:13" ht="12" customHeight="1">
      <c r="A44" s="408"/>
      <c r="B44" s="683" t="s">
        <v>365</v>
      </c>
      <c r="C44" s="278">
        <f>C17*(C2+C3)*(C6+C7+C8)</f>
        <v>0</v>
      </c>
      <c r="D44" s="255"/>
      <c r="E44" s="279">
        <f t="shared" si="1"/>
        <v>0</v>
      </c>
      <c r="F44" s="408"/>
      <c r="G44" s="408"/>
      <c r="H44" s="408"/>
      <c r="I44" s="408"/>
      <c r="J44" s="408"/>
      <c r="K44" s="408"/>
      <c r="L44" s="408"/>
      <c r="M44" s="408"/>
    </row>
    <row r="45" spans="1:13" ht="12" customHeight="1">
      <c r="A45" s="408"/>
      <c r="B45" s="683" t="s">
        <v>467</v>
      </c>
      <c r="C45" s="271">
        <f>(C6+C7+C8)*(C2+C3)*C18</f>
        <v>0</v>
      </c>
      <c r="D45" s="255"/>
      <c r="E45" s="279">
        <f t="shared" si="1"/>
        <v>0</v>
      </c>
      <c r="F45" s="408"/>
      <c r="G45" s="408"/>
      <c r="H45" s="408"/>
      <c r="I45" s="408"/>
      <c r="J45" s="408"/>
      <c r="K45" s="408"/>
      <c r="L45" s="408"/>
      <c r="M45" s="408"/>
    </row>
    <row r="46" spans="1:13" ht="12" customHeight="1">
      <c r="A46" s="408"/>
      <c r="B46" s="682" t="s">
        <v>461</v>
      </c>
      <c r="C46" s="270">
        <f>IF(AND(C6&gt;0,C7+C8=0),(C2+C3)*C6,0)</f>
        <v>0</v>
      </c>
      <c r="D46" s="255"/>
      <c r="E46" s="279">
        <f t="shared" si="1"/>
        <v>0</v>
      </c>
      <c r="F46" s="408"/>
      <c r="G46" s="408"/>
      <c r="H46" s="408"/>
      <c r="I46" s="408"/>
      <c r="J46" s="408"/>
      <c r="K46" s="408"/>
      <c r="L46" s="408"/>
      <c r="M46" s="408"/>
    </row>
    <row r="47" spans="1:13" ht="12" customHeight="1">
      <c r="A47" s="408"/>
      <c r="B47" s="682" t="s">
        <v>462</v>
      </c>
      <c r="C47" s="270">
        <f>IF(AND(C6+C8=0,C7&gt;0),(C2+C3)*C7,0)</f>
        <v>0</v>
      </c>
      <c r="D47" s="255"/>
      <c r="E47" s="279">
        <f t="shared" si="1"/>
        <v>0</v>
      </c>
      <c r="F47" s="408"/>
      <c r="G47" s="408"/>
      <c r="H47" s="408"/>
      <c r="I47" s="408"/>
      <c r="J47" s="408"/>
      <c r="K47" s="408"/>
      <c r="L47" s="408"/>
      <c r="M47" s="408"/>
    </row>
    <row r="48" spans="1:13" ht="12" customHeight="1">
      <c r="A48" s="408"/>
      <c r="B48" s="682" t="s">
        <v>601</v>
      </c>
      <c r="C48" s="270">
        <f>IF(AND(C7+C6=0,C8&gt;0),(C3+C2)*C8,0)</f>
        <v>0</v>
      </c>
      <c r="D48" s="255"/>
      <c r="E48" s="279">
        <f>C48*D48</f>
        <v>0</v>
      </c>
      <c r="F48" s="408"/>
      <c r="G48" s="408"/>
      <c r="H48" s="408"/>
      <c r="I48" s="408"/>
      <c r="J48" s="408"/>
      <c r="K48" s="408"/>
      <c r="L48" s="408"/>
      <c r="M48" s="408"/>
    </row>
    <row r="49" spans="1:13" ht="12" customHeight="1">
      <c r="A49" s="408"/>
      <c r="B49" s="682" t="s">
        <v>442</v>
      </c>
      <c r="C49" s="270">
        <f>(C6+C7+C8)*2</f>
        <v>0</v>
      </c>
      <c r="D49" s="255"/>
      <c r="E49" s="279">
        <f t="shared" si="1"/>
        <v>0</v>
      </c>
      <c r="F49" s="408"/>
      <c r="G49" s="408"/>
      <c r="H49" s="408"/>
      <c r="I49" s="408"/>
      <c r="J49" s="408"/>
      <c r="K49" s="408"/>
      <c r="L49" s="408"/>
      <c r="M49" s="408"/>
    </row>
    <row r="50" spans="1:13" ht="12" customHeight="1">
      <c r="A50" s="408"/>
      <c r="B50" s="715" t="s">
        <v>483</v>
      </c>
      <c r="C50" s="273">
        <f>(C2+C3)*(C6+C7+C8)</f>
        <v>0</v>
      </c>
      <c r="D50" s="254"/>
      <c r="E50" s="279">
        <f t="shared" si="1"/>
        <v>0</v>
      </c>
      <c r="F50" s="408"/>
      <c r="G50" s="408"/>
      <c r="H50" s="408"/>
      <c r="I50" s="408"/>
      <c r="J50" s="408"/>
      <c r="K50" s="408"/>
      <c r="L50" s="408"/>
      <c r="M50" s="408"/>
    </row>
    <row r="51" spans="1:13" ht="12" customHeight="1">
      <c r="A51" s="408"/>
      <c r="B51" s="682" t="s">
        <v>661</v>
      </c>
      <c r="C51" s="270">
        <f>(C6+C7+C8)*(C2+C3)</f>
        <v>0</v>
      </c>
      <c r="D51" s="255"/>
      <c r="E51" s="279">
        <f t="shared" si="1"/>
        <v>0</v>
      </c>
      <c r="F51" s="408"/>
      <c r="G51" s="408"/>
      <c r="H51" s="408"/>
      <c r="I51" s="408"/>
      <c r="J51" s="408"/>
      <c r="K51" s="408"/>
      <c r="L51" s="408"/>
      <c r="M51" s="408"/>
    </row>
    <row r="52" spans="1:13" ht="12" customHeight="1">
      <c r="A52" s="408"/>
      <c r="B52" s="682" t="s">
        <v>662</v>
      </c>
      <c r="C52" s="270">
        <f>(C6+C7+C8)*(C2+C3)</f>
        <v>0</v>
      </c>
      <c r="D52" s="255"/>
      <c r="E52" s="279">
        <f t="shared" si="1"/>
        <v>0</v>
      </c>
      <c r="F52" s="408"/>
      <c r="G52" s="408"/>
      <c r="H52" s="408"/>
      <c r="I52" s="408"/>
      <c r="J52" s="408"/>
      <c r="K52" s="408"/>
      <c r="L52" s="408"/>
      <c r="M52" s="408"/>
    </row>
    <row r="53" spans="1:13" ht="12" customHeight="1">
      <c r="A53" s="408"/>
      <c r="B53" s="683" t="s">
        <v>647</v>
      </c>
      <c r="C53" s="271">
        <f>(C6+C7+C8)*2</f>
        <v>0</v>
      </c>
      <c r="D53" s="255"/>
      <c r="E53" s="279">
        <f t="shared" si="1"/>
        <v>0</v>
      </c>
      <c r="F53" s="408"/>
      <c r="G53" s="408"/>
      <c r="H53" s="408"/>
      <c r="I53" s="408"/>
      <c r="J53" s="408"/>
      <c r="K53" s="408"/>
      <c r="L53" s="408"/>
      <c r="M53" s="408"/>
    </row>
    <row r="54" spans="1:13" ht="12" customHeight="1">
      <c r="A54" s="408"/>
      <c r="B54" s="683" t="s">
        <v>539</v>
      </c>
      <c r="C54" s="271">
        <f>(C6+C7+C8)*4</f>
        <v>0</v>
      </c>
      <c r="D54" s="255"/>
      <c r="E54" s="279">
        <f t="shared" si="1"/>
        <v>0</v>
      </c>
      <c r="F54" s="408"/>
      <c r="G54" s="408"/>
      <c r="H54" s="408"/>
      <c r="I54" s="408"/>
      <c r="J54" s="408"/>
      <c r="K54" s="408"/>
      <c r="L54" s="408"/>
      <c r="M54" s="408"/>
    </row>
    <row r="55" spans="1:13" ht="12" customHeight="1">
      <c r="A55" s="408"/>
      <c r="B55" s="683" t="s">
        <v>516</v>
      </c>
      <c r="C55" s="271">
        <f>(C6+C7+C8)*2</f>
        <v>0</v>
      </c>
      <c r="D55" s="255"/>
      <c r="E55" s="279">
        <f t="shared" si="1"/>
        <v>0</v>
      </c>
      <c r="F55" s="408"/>
      <c r="G55" s="408"/>
      <c r="H55" s="408"/>
      <c r="I55" s="408"/>
      <c r="J55" s="408"/>
      <c r="K55" s="408"/>
      <c r="L55" s="408"/>
      <c r="M55" s="408"/>
    </row>
    <row r="56" spans="1:13" ht="12" customHeight="1">
      <c r="A56" s="408"/>
      <c r="B56" s="455" t="s">
        <v>602</v>
      </c>
      <c r="C56" s="357">
        <f>C11*C8*2</f>
        <v>0</v>
      </c>
      <c r="D56" s="556"/>
      <c r="E56" s="347">
        <f t="shared" si="1"/>
        <v>0</v>
      </c>
      <c r="F56" s="408"/>
      <c r="G56" s="408"/>
      <c r="H56" s="408"/>
      <c r="I56" s="408"/>
      <c r="J56" s="408"/>
      <c r="K56" s="408"/>
      <c r="L56" s="408"/>
      <c r="M56" s="408"/>
    </row>
    <row r="57" spans="1:13" ht="12" customHeight="1">
      <c r="A57" s="408"/>
      <c r="B57" s="455" t="s">
        <v>603</v>
      </c>
      <c r="C57" s="357">
        <f>C14*C8*2</f>
        <v>0</v>
      </c>
      <c r="D57" s="556"/>
      <c r="E57" s="347">
        <f t="shared" si="1"/>
        <v>0</v>
      </c>
      <c r="F57" s="408"/>
      <c r="G57" s="408"/>
      <c r="H57" s="408"/>
      <c r="I57" s="408"/>
      <c r="J57" s="408"/>
      <c r="K57" s="408"/>
      <c r="L57" s="408"/>
      <c r="M57" s="408"/>
    </row>
    <row r="58" spans="1:13" ht="12" customHeight="1">
      <c r="A58" s="408"/>
      <c r="B58" s="685" t="s">
        <v>378</v>
      </c>
      <c r="C58" s="278">
        <f>C9*C6*2</f>
        <v>0</v>
      </c>
      <c r="D58" s="255"/>
      <c r="E58" s="279">
        <f t="shared" si="1"/>
        <v>0</v>
      </c>
      <c r="F58" s="408"/>
      <c r="G58" s="408"/>
      <c r="H58" s="408"/>
      <c r="I58" s="408"/>
      <c r="J58" s="408"/>
      <c r="K58" s="408"/>
      <c r="L58" s="408"/>
      <c r="M58" s="408"/>
    </row>
    <row r="59" spans="1:13" ht="12" customHeight="1">
      <c r="A59" s="408"/>
      <c r="B59" s="685" t="s">
        <v>435</v>
      </c>
      <c r="C59" s="278">
        <f>C12*C6*2</f>
        <v>0</v>
      </c>
      <c r="D59" s="255"/>
      <c r="E59" s="279">
        <f t="shared" si="1"/>
        <v>0</v>
      </c>
      <c r="F59" s="408"/>
      <c r="G59" s="408"/>
      <c r="H59" s="408"/>
      <c r="I59" s="408"/>
      <c r="J59" s="408"/>
      <c r="K59" s="408"/>
      <c r="L59" s="408"/>
      <c r="M59" s="408"/>
    </row>
    <row r="60" spans="1:13" ht="12" customHeight="1">
      <c r="A60" s="408"/>
      <c r="B60" s="685" t="s">
        <v>436</v>
      </c>
      <c r="C60" s="278">
        <f>C10*C7*2</f>
        <v>0</v>
      </c>
      <c r="D60" s="255"/>
      <c r="E60" s="279">
        <f t="shared" si="1"/>
        <v>0</v>
      </c>
      <c r="F60" s="408"/>
      <c r="G60" s="408"/>
      <c r="H60" s="408"/>
      <c r="I60" s="408"/>
      <c r="J60" s="408"/>
      <c r="K60" s="408"/>
      <c r="L60" s="408"/>
      <c r="M60" s="408"/>
    </row>
    <row r="61" spans="1:13" ht="12" customHeight="1">
      <c r="A61" s="408"/>
      <c r="B61" s="528" t="s">
        <v>145</v>
      </c>
      <c r="C61" s="509">
        <f>C21</f>
        <v>0</v>
      </c>
      <c r="D61" s="525"/>
      <c r="E61" s="403">
        <f t="shared" si="1"/>
        <v>0</v>
      </c>
      <c r="F61" s="408"/>
      <c r="G61" s="408"/>
      <c r="H61" s="408"/>
      <c r="I61" s="408"/>
      <c r="J61" s="408"/>
      <c r="K61" s="408"/>
      <c r="L61" s="408"/>
      <c r="M61" s="408"/>
    </row>
    <row r="62" spans="1:13" ht="12" customHeight="1">
      <c r="A62" s="408"/>
      <c r="B62" s="528" t="s">
        <v>148</v>
      </c>
      <c r="C62" s="509">
        <f>C20</f>
        <v>0</v>
      </c>
      <c r="D62" s="525"/>
      <c r="E62" s="403">
        <f t="shared" si="1"/>
        <v>0</v>
      </c>
      <c r="F62" s="408"/>
      <c r="G62" s="408"/>
      <c r="H62" s="408"/>
      <c r="I62" s="408"/>
      <c r="J62" s="408"/>
      <c r="K62" s="408"/>
      <c r="L62" s="408"/>
      <c r="M62" s="408"/>
    </row>
    <row r="63" spans="1:13" ht="12" customHeight="1" thickBot="1">
      <c r="A63" s="408"/>
      <c r="B63" s="688" t="s">
        <v>437</v>
      </c>
      <c r="C63" s="274">
        <f>C13*C7*2</f>
        <v>0</v>
      </c>
      <c r="D63" s="256"/>
      <c r="E63" s="280">
        <f t="shared" si="1"/>
        <v>0</v>
      </c>
      <c r="F63" s="408"/>
      <c r="G63" s="408"/>
      <c r="H63" s="408"/>
      <c r="I63" s="408"/>
      <c r="J63" s="408"/>
      <c r="K63" s="408"/>
      <c r="L63" s="408"/>
      <c r="M63" s="408"/>
    </row>
    <row r="64" spans="1:13" ht="12" customHeight="1" thickBot="1">
      <c r="A64" s="408"/>
      <c r="B64" s="408"/>
      <c r="C64" s="408"/>
      <c r="D64" s="689" t="s">
        <v>9</v>
      </c>
      <c r="E64" s="530">
        <f>SUMIF(E24:E63,"&gt;0",E24:E63)</f>
        <v>0</v>
      </c>
      <c r="F64" s="408"/>
      <c r="G64" s="408"/>
      <c r="H64" s="408"/>
      <c r="I64" s="408"/>
      <c r="J64" s="408"/>
      <c r="K64" s="408"/>
      <c r="L64" s="408"/>
      <c r="M64" s="408"/>
    </row>
    <row r="65" spans="1:13">
      <c r="A65" s="408"/>
      <c r="B65" s="408"/>
      <c r="C65" s="408"/>
      <c r="D65" s="408"/>
      <c r="E65" s="408"/>
      <c r="F65" s="408"/>
      <c r="G65" s="408"/>
      <c r="H65" s="408"/>
      <c r="I65" s="408"/>
      <c r="J65" s="408"/>
      <c r="K65" s="408"/>
      <c r="L65" s="408"/>
      <c r="M65" s="408"/>
    </row>
    <row r="66" spans="1:13">
      <c r="A66" s="408"/>
      <c r="B66" s="408"/>
      <c r="C66" s="408"/>
      <c r="D66" s="408"/>
      <c r="E66" s="408"/>
      <c r="F66" s="408"/>
      <c r="G66" s="408"/>
      <c r="H66" s="408"/>
      <c r="I66" s="408"/>
      <c r="J66" s="408"/>
      <c r="K66" s="408"/>
      <c r="L66" s="408"/>
      <c r="M66" s="408"/>
    </row>
    <row r="67" spans="1:13">
      <c r="A67" s="408"/>
      <c r="B67" s="408"/>
      <c r="C67" s="408"/>
      <c r="D67" s="408"/>
      <c r="E67" s="408"/>
      <c r="F67" s="408"/>
      <c r="G67" s="408"/>
      <c r="H67" s="408"/>
      <c r="I67" s="408"/>
      <c r="J67" s="408"/>
      <c r="K67" s="408"/>
      <c r="L67" s="408"/>
      <c r="M67" s="408"/>
    </row>
    <row r="68" spans="1:13" ht="11.25" customHeight="1"/>
  </sheetData>
  <sheetProtection algorithmName="SHA-512" hashValue="1lr8K6ayO8IZOoxKe9jJRCRssN51eZqCCMMjdIDLHbKbqzkB9M49+Btw5XeqHgKslGzDpVdYgeMKgr80LUYKBQ==" saltValue="dzZ8JDXtP5GUwK+hGF6Oqg==" spinCount="100000" sheet="1"/>
  <mergeCells count="7">
    <mergeCell ref="B1:E1"/>
    <mergeCell ref="D20:F20"/>
    <mergeCell ref="D21:F21"/>
    <mergeCell ref="D2:F5"/>
    <mergeCell ref="D6:F8"/>
    <mergeCell ref="F9:F14"/>
    <mergeCell ref="F16:F19"/>
  </mergeCells>
  <conditionalFormatting sqref="C15">
    <cfRule type="cellIs" dxfId="221" priority="55" operator="greaterThan">
      <formula>0</formula>
    </cfRule>
  </conditionalFormatting>
  <conditionalFormatting sqref="C15">
    <cfRule type="cellIs" dxfId="220" priority="56" operator="greaterThan">
      <formula>0</formula>
    </cfRule>
  </conditionalFormatting>
  <conditionalFormatting sqref="C15">
    <cfRule type="cellIs" dxfId="219" priority="57" operator="greaterThan">
      <formula>0</formula>
    </cfRule>
  </conditionalFormatting>
  <conditionalFormatting sqref="C15">
    <cfRule type="cellIs" dxfId="218" priority="61" operator="greaterThan">
      <formula>0</formula>
    </cfRule>
  </conditionalFormatting>
  <conditionalFormatting sqref="C15">
    <cfRule type="cellIs" dxfId="217" priority="60" operator="greaterThan">
      <formula>0</formula>
    </cfRule>
  </conditionalFormatting>
  <conditionalFormatting sqref="C15">
    <cfRule type="cellIs" dxfId="216" priority="59" operator="greaterThan">
      <formula>0</formula>
    </cfRule>
  </conditionalFormatting>
  <conditionalFormatting sqref="C15">
    <cfRule type="cellIs" dxfId="215" priority="58" operator="greaterThan">
      <formula>0</formula>
    </cfRule>
  </conditionalFormatting>
  <conditionalFormatting sqref="J3:J19">
    <cfRule type="cellIs" dxfId="214" priority="28" operator="greaterThan">
      <formula>0</formula>
    </cfRule>
    <cfRule type="cellIs" dxfId="213" priority="29" operator="greaterThan">
      <formula>0</formula>
    </cfRule>
  </conditionalFormatting>
  <conditionalFormatting sqref="H10:H12">
    <cfRule type="iconSet" priority="53">
      <iconSet iconSet="3Symbols">
        <cfvo type="percent" val="0"/>
        <cfvo type="percent" val="33"/>
        <cfvo type="percent" val="67"/>
      </iconSet>
    </cfRule>
    <cfRule type="expression" priority="54">
      <formula>"H71=1"</formula>
    </cfRule>
  </conditionalFormatting>
  <conditionalFormatting sqref="H10">
    <cfRule type="iconSet" priority="52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212" priority="49" operator="equal">
      <formula>"ДА"</formula>
    </cfRule>
    <cfRule type="cellIs" dxfId="211" priority="50" operator="equal">
      <formula>"НЕТ"</formula>
    </cfRule>
  </conditionalFormatting>
  <conditionalFormatting sqref="I3:I4 I6:I8">
    <cfRule type="colorScale" priority="5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10" priority="46" operator="equal">
      <formula>"ДА"</formula>
    </cfRule>
    <cfRule type="cellIs" dxfId="209" priority="47" operator="equal">
      <formula>"НЕТ"</formula>
    </cfRule>
  </conditionalFormatting>
  <conditionalFormatting sqref="I5">
    <cfRule type="cellIs" dxfId="208" priority="43" operator="equal">
      <formula>"ДА"</formula>
    </cfRule>
    <cfRule type="cellIs" dxfId="207" priority="44" operator="equal">
      <formula>"НЕТ"</formula>
    </cfRule>
  </conditionalFormatting>
  <conditionalFormatting sqref="I9">
    <cfRule type="colorScale" priority="4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206" priority="39" operator="equal">
      <formula>"ДА"</formula>
    </cfRule>
    <cfRule type="cellIs" dxfId="205" priority="40" operator="equal">
      <formula>"НЕТ"</formula>
    </cfRule>
  </conditionalFormatting>
  <conditionalFormatting sqref="I5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41">
      <iconSet iconSet="3Symbols">
        <cfvo type="percent" val="0"/>
        <cfvo type="percent" val="33"/>
        <cfvo type="percent" val="67"/>
      </iconSet>
    </cfRule>
    <cfRule type="expression" priority="42">
      <formula>"H71=1"</formula>
    </cfRule>
  </conditionalFormatting>
  <conditionalFormatting sqref="I14">
    <cfRule type="cellIs" dxfId="204" priority="35" operator="equal">
      <formula>"ДА"</formula>
    </cfRule>
    <cfRule type="cellIs" dxfId="203" priority="36" operator="equal">
      <formula>"НЕТ"</formula>
    </cfRule>
  </conditionalFormatting>
  <conditionalFormatting sqref="H14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I18">
    <cfRule type="cellIs" dxfId="202" priority="33" operator="equal">
      <formula>"ДА"</formula>
    </cfRule>
    <cfRule type="cellIs" dxfId="201" priority="34" operator="equal">
      <formula>"НЕТ"</formula>
    </cfRule>
  </conditionalFormatting>
  <conditionalFormatting sqref="I19">
    <cfRule type="cellIs" dxfId="200" priority="31" operator="equal">
      <formula>"ДА"</formula>
    </cfRule>
    <cfRule type="cellIs" dxfId="199" priority="32" operator="equal">
      <formula>"НЕТ"</formula>
    </cfRule>
  </conditionalFormatting>
  <conditionalFormatting sqref="K3:K19">
    <cfRule type="cellIs" dxfId="198" priority="30" operator="greaterThan">
      <formula>0</formula>
    </cfRule>
  </conditionalFormatting>
  <conditionalFormatting sqref="I15:I19">
    <cfRule type="cellIs" dxfId="197" priority="27" operator="equal">
      <formula>"НЕТ"</formula>
    </cfRule>
  </conditionalFormatting>
  <conditionalFormatting sqref="I3:I19">
    <cfRule type="cellIs" dxfId="196" priority="25" operator="equal">
      <formula>"НЕТ"</formula>
    </cfRule>
    <cfRule type="cellIs" dxfId="195" priority="26" operator="equal">
      <formula>"ДА"</formula>
    </cfRule>
  </conditionalFormatting>
  <conditionalFormatting sqref="I3:I18">
    <cfRule type="cellIs" dxfId="194" priority="24" operator="equal">
      <formula>"ДА"</formula>
    </cfRule>
  </conditionalFormatting>
  <conditionalFormatting sqref="I5">
    <cfRule type="cellIs" dxfId="193" priority="21" operator="equal">
      <formula>"ДА"</formula>
    </cfRule>
    <cfRule type="cellIs" dxfId="192" priority="22" operator="equal">
      <formula>"НЕТ"</formula>
    </cfRule>
  </conditionalFormatting>
  <conditionalFormatting sqref="I5">
    <cfRule type="colorScale" priority="2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191" priority="18" operator="equal">
      <formula>"ДА"</formula>
    </cfRule>
    <cfRule type="cellIs" dxfId="190" priority="19" operator="equal">
      <formula>"НЕТ"</formula>
    </cfRule>
  </conditionalFormatting>
  <conditionalFormatting sqref="I9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9">
    <cfRule type="cellIs" dxfId="189" priority="12" operator="greaterThan">
      <formula>0</formula>
    </cfRule>
    <cfRule type="cellIs" dxfId="188" priority="13" operator="greaterThan">
      <formula>0</formula>
    </cfRule>
    <cfRule type="cellIs" dxfId="187" priority="17" operator="greaterThan">
      <formula>0</formula>
    </cfRule>
  </conditionalFormatting>
  <conditionalFormatting sqref="I5">
    <cfRule type="cellIs" dxfId="186" priority="14" operator="equal">
      <formula>"ДА"</formula>
    </cfRule>
    <cfRule type="cellIs" dxfId="185" priority="15" operator="equal">
      <formula>"НЕТ"</formula>
    </cfRule>
  </conditionalFormatting>
  <conditionalFormatting sqref="I5">
    <cfRule type="colorScale" priority="16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6:E56">
    <cfRule type="cellIs" dxfId="184" priority="11" operator="greaterThan">
      <formula>0</formula>
    </cfRule>
  </conditionalFormatting>
  <conditionalFormatting sqref="C57:E57">
    <cfRule type="cellIs" dxfId="183" priority="10" operator="greaterThan">
      <formula>0</formula>
    </cfRule>
  </conditionalFormatting>
  <conditionalFormatting sqref="C56:E57">
    <cfRule type="cellIs" dxfId="182" priority="9" operator="greaterThan">
      <formula>0</formula>
    </cfRule>
  </conditionalFormatting>
  <conditionalFormatting sqref="C56:E57">
    <cfRule type="cellIs" dxfId="181" priority="8" operator="greaterThan">
      <formula>0</formula>
    </cfRule>
  </conditionalFormatting>
  <conditionalFormatting sqref="C56:E57">
    <cfRule type="cellIs" dxfId="180" priority="7" operator="greaterThan">
      <formula>0</formula>
    </cfRule>
  </conditionalFormatting>
  <conditionalFormatting sqref="C56:E57">
    <cfRule type="cellIs" dxfId="179" priority="6" operator="greaterThan">
      <formula>0</formula>
    </cfRule>
  </conditionalFormatting>
  <conditionalFormatting sqref="E64">
    <cfRule type="cellIs" dxfId="178" priority="5" operator="greaterThan">
      <formula>0</formula>
    </cfRule>
  </conditionalFormatting>
  <conditionalFormatting sqref="C2:C19">
    <cfRule type="cellIs" dxfId="177" priority="4" operator="greaterThan">
      <formula>0</formula>
    </cfRule>
  </conditionalFormatting>
  <conditionalFormatting sqref="C24:E60 C63:E63">
    <cfRule type="cellIs" dxfId="176" priority="3" operator="greaterThan">
      <formula>0</formula>
    </cfRule>
  </conditionalFormatting>
  <conditionalFormatting sqref="C20:C21">
    <cfRule type="cellIs" dxfId="175" priority="2" operator="greaterThan">
      <formula>0</formula>
    </cfRule>
  </conditionalFormatting>
  <conditionalFormatting sqref="C61:E62">
    <cfRule type="cellIs" dxfId="174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10" sqref="C10:C28"/>
    </sheetView>
  </sheetViews>
  <sheetFormatPr defaultRowHeight="11.25"/>
  <cols>
    <col min="1" max="1" width="52.83203125" customWidth="1"/>
    <col min="2" max="2" width="13" customWidth="1"/>
    <col min="3" max="3" width="15.83203125" customWidth="1"/>
    <col min="4" max="4" width="15.5" customWidth="1"/>
  </cols>
  <sheetData>
    <row r="1" spans="1:4" ht="64.5" customHeight="1" thickBot="1">
      <c r="A1" s="1320" t="s">
        <v>844</v>
      </c>
      <c r="B1" s="1320"/>
      <c r="C1" s="1320"/>
      <c r="D1" s="1320"/>
    </row>
    <row r="2" spans="1:4">
      <c r="A2" s="110" t="s">
        <v>10</v>
      </c>
      <c r="B2" s="864">
        <v>4</v>
      </c>
      <c r="C2" s="1081" t="s">
        <v>125</v>
      </c>
      <c r="D2" s="1056"/>
    </row>
    <row r="3" spans="1:4">
      <c r="A3" s="111" t="s">
        <v>123</v>
      </c>
      <c r="B3" s="836">
        <v>1</v>
      </c>
      <c r="C3" s="1083" t="s">
        <v>30</v>
      </c>
      <c r="D3" s="1084"/>
    </row>
    <row r="4" spans="1:4">
      <c r="A4" s="820" t="s">
        <v>845</v>
      </c>
      <c r="B4" s="837">
        <v>2</v>
      </c>
      <c r="C4" s="850" t="s">
        <v>846</v>
      </c>
      <c r="D4" s="847" t="s">
        <v>847</v>
      </c>
    </row>
    <row r="5" spans="1:4">
      <c r="A5" s="820" t="s">
        <v>848</v>
      </c>
      <c r="B5" s="837">
        <v>0</v>
      </c>
      <c r="C5" s="848" t="s">
        <v>849</v>
      </c>
      <c r="D5" s="847" t="s">
        <v>850</v>
      </c>
    </row>
    <row r="6" spans="1:4" ht="24" customHeight="1">
      <c r="A6" s="820" t="s">
        <v>589</v>
      </c>
      <c r="B6" s="837">
        <v>4</v>
      </c>
      <c r="C6" s="1230" t="s">
        <v>869</v>
      </c>
      <c r="D6" s="1234"/>
    </row>
    <row r="7" spans="1:4">
      <c r="A7" s="821" t="s">
        <v>277</v>
      </c>
      <c r="B7" s="836">
        <v>0</v>
      </c>
      <c r="C7" s="1165" t="s">
        <v>30</v>
      </c>
      <c r="D7" s="1166"/>
    </row>
    <row r="8" spans="1:4" ht="12" thickBot="1">
      <c r="A8" s="1185"/>
      <c r="B8" s="1185"/>
      <c r="C8" s="1185"/>
      <c r="D8" s="1185"/>
    </row>
    <row r="9" spans="1:4" ht="12.75">
      <c r="A9" s="98" t="s">
        <v>5</v>
      </c>
      <c r="B9" s="99" t="s">
        <v>0</v>
      </c>
      <c r="C9" s="119" t="s">
        <v>4</v>
      </c>
      <c r="D9" s="849" t="s">
        <v>8</v>
      </c>
    </row>
    <row r="10" spans="1:4" ht="15.75">
      <c r="A10" s="953" t="s">
        <v>851</v>
      </c>
      <c r="B10" s="954">
        <f>B3</f>
        <v>1</v>
      </c>
      <c r="C10" s="955"/>
      <c r="D10" s="953">
        <f t="shared" ref="D10:D36" si="0">C10*B10</f>
        <v>0</v>
      </c>
    </row>
    <row r="11" spans="1:4" ht="15.75">
      <c r="A11" s="953" t="s">
        <v>852</v>
      </c>
      <c r="B11" s="954">
        <f>IF(B3&gt;0,B3,0)</f>
        <v>1</v>
      </c>
      <c r="C11" s="955"/>
      <c r="D11" s="953">
        <f t="shared" si="0"/>
        <v>0</v>
      </c>
    </row>
    <row r="12" spans="1:4" ht="15.75">
      <c r="A12" s="953" t="s">
        <v>853</v>
      </c>
      <c r="B12" s="954">
        <f>IF(B2&lt;=1.31, 2*B3,
IF(AND(B2&gt;1.31,B2&lt;=2.2), 3*B3,
IF(AND(B2&gt;2.2,B2&lt;=3), 4*B3,
IF(AND(B2&gt;3,B2&lt;=4),5*B3,6))))</f>
        <v>5</v>
      </c>
      <c r="C12" s="955"/>
      <c r="D12" s="953">
        <f t="shared" si="0"/>
        <v>0</v>
      </c>
    </row>
    <row r="13" spans="1:4" ht="15.75">
      <c r="A13" s="953" t="s">
        <v>854</v>
      </c>
      <c r="B13" s="954">
        <f>IF(B2&lt;=1.31, 2*B3,
IF(AND(B2&gt;1.31,B2&lt;=2.2), 3*B3,
IF(AND(B2&gt;2.2,B2&lt;=3), 4*B3,
IF(AND(B2&gt;3,B2&lt;=4),5*B3,6))))</f>
        <v>5</v>
      </c>
      <c r="C13" s="955"/>
      <c r="D13" s="953">
        <f t="shared" si="0"/>
        <v>0</v>
      </c>
    </row>
    <row r="14" spans="1:4" ht="15.75">
      <c r="A14" s="953" t="s">
        <v>855</v>
      </c>
      <c r="B14" s="954">
        <f>B3</f>
        <v>1</v>
      </c>
      <c r="C14" s="955"/>
      <c r="D14" s="953">
        <f t="shared" si="0"/>
        <v>0</v>
      </c>
    </row>
    <row r="15" spans="1:4" ht="15.75">
      <c r="A15" s="953" t="s">
        <v>856</v>
      </c>
      <c r="B15" s="954">
        <f>B3</f>
        <v>1</v>
      </c>
      <c r="C15" s="955"/>
      <c r="D15" s="953">
        <f t="shared" si="0"/>
        <v>0</v>
      </c>
    </row>
    <row r="16" spans="1:4" ht="15.75">
      <c r="A16" s="953" t="s">
        <v>857</v>
      </c>
      <c r="B16" s="954">
        <f>IF(AND(B2&lt;=1.31,B4=1), 2*B3,
IF(AND(B2&gt;1.31,B2&lt;=2.2,B4=1), 3*B3,
IF(AND(B2&gt;2.2,B2&lt;=3,B4=1), 4*B3,
IF(AND(B2&gt;3,B2&lt;=4,B4=1),5*B3,0))))</f>
        <v>0</v>
      </c>
      <c r="C16" s="955"/>
      <c r="D16" s="953">
        <f t="shared" si="0"/>
        <v>0</v>
      </c>
    </row>
    <row r="17" spans="1:4" ht="15.75">
      <c r="A17" s="953" t="s">
        <v>858</v>
      </c>
      <c r="B17" s="954">
        <f>IF(AND(B2&lt;=1.31,B4=2), 2*B3,
IF(AND(B2&gt;1.31,B2&lt;=2.2,B4=2), 3*B3,
IF(AND(B2&gt;2.2,B2&lt;=3,B4=2), 4*B3,
IF(AND(B2&gt;3,B2&lt;=4,B4=2),5*B3,0))))</f>
        <v>5</v>
      </c>
      <c r="C17" s="955"/>
      <c r="D17" s="953">
        <f t="shared" si="0"/>
        <v>0</v>
      </c>
    </row>
    <row r="18" spans="1:4" ht="15.75">
      <c r="A18" s="953" t="s">
        <v>859</v>
      </c>
      <c r="B18" s="954">
        <f>IF(B2&gt;3,B3,0)</f>
        <v>1</v>
      </c>
      <c r="C18" s="955"/>
      <c r="D18" s="953">
        <f t="shared" si="0"/>
        <v>0</v>
      </c>
    </row>
    <row r="19" spans="1:4" ht="15.75">
      <c r="A19" s="953" t="s">
        <v>860</v>
      </c>
      <c r="B19" s="954">
        <f>IF(B2&lt;=1.31, 2*B3*4.5,
IF(AND(B2&gt;1.31,B2&lt;=2.2), 3*B3*4.5,
IF(AND(B2&gt;2.2,B2&lt;=3), 4*B3*4.5,
IF(AND(B2&gt;3,B2&lt;=4),5*B3*4.5,0))))</f>
        <v>22.5</v>
      </c>
      <c r="C19" s="955"/>
      <c r="D19" s="953">
        <f t="shared" si="0"/>
        <v>0</v>
      </c>
    </row>
    <row r="20" spans="1:4" ht="15.75">
      <c r="A20" s="953" t="s">
        <v>861</v>
      </c>
      <c r="B20" s="954">
        <f>IF(B2&lt;=1.31, 2*B3,
IF(AND(B2&gt;1.31,B2&lt;=2.2), 3*B3,
IF(AND(B2&gt;2.2,B2&lt;=3), 4*B3,
IF(AND(B2&gt;3,B2&lt;=4),5*B3,6))))</f>
        <v>5</v>
      </c>
      <c r="C20" s="955"/>
      <c r="D20" s="953">
        <f t="shared" si="0"/>
        <v>0</v>
      </c>
    </row>
    <row r="21" spans="1:4" ht="15.75">
      <c r="A21" s="953" t="s">
        <v>862</v>
      </c>
      <c r="B21" s="956">
        <f>IF(AND(B2&gt;=1,B2&lt;=3),B2-0.06,IF(AND(B2&gt;3,B2&lt;=5),(B2-0.037)/2,IF(AND(B2&gt;=1,B2&lt;=3),B2-0.4,IF(AND(B2&gt;3,B2&lt;=5),(B2-0.207)/2,0))))</f>
        <v>1.9815</v>
      </c>
      <c r="C21" s="957"/>
      <c r="D21" s="953">
        <f t="shared" si="0"/>
        <v>0</v>
      </c>
    </row>
    <row r="22" spans="1:4" ht="15.75">
      <c r="A22" s="953" t="s">
        <v>862</v>
      </c>
      <c r="B22" s="956">
        <f>IF(AND(B2&gt;3,B2&lt;=5),(B2-0.037)/2,IF(AND(B2&gt;3,B2&lt;=5),(B2-0.207)/2,0))</f>
        <v>1.9815</v>
      </c>
      <c r="C22" s="957"/>
      <c r="D22" s="953">
        <f t="shared" si="0"/>
        <v>0</v>
      </c>
    </row>
    <row r="23" spans="1:4" ht="15.75">
      <c r="A23" s="953" t="s">
        <v>937</v>
      </c>
      <c r="B23" s="958">
        <f>B3*2</f>
        <v>2</v>
      </c>
      <c r="C23" s="957"/>
      <c r="D23" s="953">
        <f t="shared" si="0"/>
        <v>0</v>
      </c>
    </row>
    <row r="24" spans="1:4" ht="15.75">
      <c r="A24" s="953" t="s">
        <v>938</v>
      </c>
      <c r="B24" s="958">
        <f>B3*2</f>
        <v>2</v>
      </c>
      <c r="C24" s="957"/>
      <c r="D24" s="953">
        <f t="shared" si="0"/>
        <v>0</v>
      </c>
    </row>
    <row r="25" spans="1:4" ht="15.75">
      <c r="A25" s="953" t="s">
        <v>934</v>
      </c>
      <c r="B25" s="958">
        <f>B3</f>
        <v>1</v>
      </c>
      <c r="C25" s="957"/>
      <c r="D25" s="953">
        <f t="shared" si="0"/>
        <v>0</v>
      </c>
    </row>
    <row r="26" spans="1:4" ht="15.75">
      <c r="A26" s="953" t="s">
        <v>935</v>
      </c>
      <c r="B26" s="958">
        <f>IF(B5=0,B3,0)</f>
        <v>1</v>
      </c>
      <c r="C26" s="957"/>
      <c r="D26" s="953">
        <f t="shared" si="0"/>
        <v>0</v>
      </c>
    </row>
    <row r="27" spans="1:4" ht="15.75">
      <c r="A27" s="953" t="s">
        <v>936</v>
      </c>
      <c r="B27" s="958">
        <f>B3</f>
        <v>1</v>
      </c>
      <c r="C27" s="957"/>
      <c r="D27" s="953">
        <f t="shared" si="0"/>
        <v>0</v>
      </c>
    </row>
    <row r="28" spans="1:4" ht="15.75">
      <c r="A28" s="953" t="s">
        <v>145</v>
      </c>
      <c r="B28" s="959">
        <f>B7*B3</f>
        <v>0</v>
      </c>
      <c r="C28" s="955"/>
      <c r="D28" s="953">
        <f t="shared" si="0"/>
        <v>0</v>
      </c>
    </row>
    <row r="29" spans="1:4" ht="15" customHeight="1">
      <c r="A29" s="1317" t="s">
        <v>241</v>
      </c>
      <c r="B29" s="1318"/>
      <c r="C29" s="1318"/>
      <c r="D29" s="1319"/>
    </row>
    <row r="30" spans="1:4" ht="15" customHeight="1">
      <c r="A30" s="960" t="s">
        <v>863</v>
      </c>
      <c r="B30" s="961">
        <v>0</v>
      </c>
      <c r="C30" s="962"/>
      <c r="D30" s="953">
        <f t="shared" si="0"/>
        <v>0</v>
      </c>
    </row>
    <row r="31" spans="1:4" ht="15" customHeight="1">
      <c r="A31" s="963" t="s">
        <v>864</v>
      </c>
      <c r="B31" s="961">
        <f>IF(AND(B5=0,B6=2),B3,0)</f>
        <v>0</v>
      </c>
      <c r="C31" s="962"/>
      <c r="D31" s="953">
        <f t="shared" si="0"/>
        <v>0</v>
      </c>
    </row>
    <row r="32" spans="1:4" ht="15.75">
      <c r="A32" s="963" t="s">
        <v>865</v>
      </c>
      <c r="B32" s="961">
        <v>0</v>
      </c>
      <c r="C32" s="962"/>
      <c r="D32" s="953">
        <f t="shared" si="0"/>
        <v>0</v>
      </c>
    </row>
    <row r="33" spans="1:4" ht="15.75">
      <c r="A33" s="963" t="s">
        <v>866</v>
      </c>
      <c r="B33" s="961">
        <v>0</v>
      </c>
      <c r="C33" s="962"/>
      <c r="D33" s="953">
        <f t="shared" si="0"/>
        <v>0</v>
      </c>
    </row>
    <row r="34" spans="1:4" ht="15.75">
      <c r="A34" s="964" t="s">
        <v>867</v>
      </c>
      <c r="B34" s="965">
        <f>IF(AND(B5=1,B6=5),B4,0)</f>
        <v>0</v>
      </c>
      <c r="C34" s="966"/>
      <c r="D34" s="964">
        <f t="shared" si="0"/>
        <v>0</v>
      </c>
    </row>
    <row r="35" spans="1:4" ht="15.75">
      <c r="A35" s="964" t="s">
        <v>939</v>
      </c>
      <c r="B35" s="965">
        <v>0</v>
      </c>
      <c r="C35" s="966"/>
      <c r="D35" s="964">
        <f t="shared" si="0"/>
        <v>0</v>
      </c>
    </row>
    <row r="36" spans="1:4" ht="15.75">
      <c r="A36" s="964" t="s">
        <v>868</v>
      </c>
      <c r="B36" s="965">
        <f>IF(AND(B5=1,B6=2),B3,0)</f>
        <v>0</v>
      </c>
      <c r="C36" s="966"/>
      <c r="D36" s="964">
        <f t="shared" si="0"/>
        <v>0</v>
      </c>
    </row>
  </sheetData>
  <sheetProtection algorithmName="SHA-512" hashValue="gm70pk5l7+h/qRfgX4Z+oeVUoruJG6MsrrGNyCFd+qRDI9Xk3CE+yMMpigcdH3i3Z5zQLI3Y27p/3LqPc/CObg==" saltValue="M6NdxuJ5q3aK7LKDTDZ5mg==" spinCount="100000" sheet="1" objects="1" scenarios="1"/>
  <mergeCells count="7">
    <mergeCell ref="A8:D8"/>
    <mergeCell ref="A29:D29"/>
    <mergeCell ref="A1:D1"/>
    <mergeCell ref="C2:D2"/>
    <mergeCell ref="C3:D3"/>
    <mergeCell ref="C6:D6"/>
    <mergeCell ref="C7:D7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8"/>
  <sheetViews>
    <sheetView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D41" sqref="D41:D46"/>
    </sheetView>
  </sheetViews>
  <sheetFormatPr defaultRowHeight="11.25"/>
  <cols>
    <col min="2" max="2" width="53" customWidth="1"/>
    <col min="3" max="3" width="11.83203125" customWidth="1"/>
    <col min="4" max="4" width="12" customWidth="1"/>
    <col min="5" max="5" width="10.83203125" customWidth="1"/>
    <col min="6" max="6" width="31.33203125" customWidth="1"/>
  </cols>
  <sheetData>
    <row r="3" spans="2:6" ht="27" thickBot="1">
      <c r="B3" s="1168"/>
      <c r="C3" s="1169"/>
      <c r="D3" s="1169"/>
      <c r="E3" s="1169"/>
      <c r="F3" s="949"/>
    </row>
    <row r="4" spans="2:6">
      <c r="B4" s="967" t="s">
        <v>10</v>
      </c>
      <c r="C4" s="968">
        <v>1</v>
      </c>
      <c r="D4" s="1321" t="s">
        <v>595</v>
      </c>
      <c r="E4" s="1321"/>
      <c r="F4" s="1322"/>
    </row>
    <row r="5" spans="2:6" ht="12" thickBot="1">
      <c r="B5" s="969" t="s">
        <v>1</v>
      </c>
      <c r="C5" s="970">
        <v>0</v>
      </c>
      <c r="D5" s="1323"/>
      <c r="E5" s="1323"/>
      <c r="F5" s="1324"/>
    </row>
    <row r="6" spans="2:6">
      <c r="B6" s="967" t="s">
        <v>940</v>
      </c>
      <c r="C6" s="971">
        <v>0</v>
      </c>
      <c r="D6" s="1325" t="s">
        <v>597</v>
      </c>
      <c r="E6" s="1325"/>
      <c r="F6" s="1326"/>
    </row>
    <row r="7" spans="2:6" ht="12" thickBot="1">
      <c r="B7" s="969" t="s">
        <v>414</v>
      </c>
      <c r="C7" s="972">
        <v>0</v>
      </c>
      <c r="D7" s="1327"/>
      <c r="E7" s="1327"/>
      <c r="F7" s="1328"/>
    </row>
    <row r="8" spans="2:6" ht="20.25" customHeight="1">
      <c r="B8" s="820" t="s">
        <v>589</v>
      </c>
      <c r="C8" s="837">
        <v>4</v>
      </c>
      <c r="D8" s="1331" t="s">
        <v>958</v>
      </c>
      <c r="E8" s="1332"/>
      <c r="F8" s="1333"/>
    </row>
    <row r="9" spans="2:6" ht="12" thickBot="1">
      <c r="B9" s="821" t="s">
        <v>277</v>
      </c>
      <c r="C9" s="836">
        <v>0</v>
      </c>
      <c r="D9" s="1165" t="s">
        <v>30</v>
      </c>
      <c r="E9" s="1166"/>
      <c r="F9" s="974"/>
    </row>
    <row r="10" spans="2:6">
      <c r="B10" s="967" t="s">
        <v>397</v>
      </c>
      <c r="C10" s="971">
        <v>0</v>
      </c>
      <c r="D10" s="513" t="s">
        <v>287</v>
      </c>
      <c r="E10" s="513" t="s">
        <v>255</v>
      </c>
      <c r="F10" s="1329" t="s">
        <v>597</v>
      </c>
    </row>
    <row r="11" spans="2:6" ht="12" thickBot="1">
      <c r="B11" s="969" t="s">
        <v>398</v>
      </c>
      <c r="C11" s="972">
        <v>0</v>
      </c>
      <c r="D11" s="973" t="s">
        <v>287</v>
      </c>
      <c r="E11" s="973" t="s">
        <v>255</v>
      </c>
      <c r="F11" s="1330"/>
    </row>
    <row r="12" spans="2:6" ht="12" thickBot="1">
      <c r="B12" s="1263"/>
      <c r="C12" s="1263"/>
      <c r="D12" s="1263"/>
      <c r="E12" s="1263"/>
      <c r="F12" s="950"/>
    </row>
    <row r="13" spans="2:6" ht="13.5" thickBot="1">
      <c r="B13" s="975" t="s">
        <v>5</v>
      </c>
      <c r="C13" s="976" t="s">
        <v>0</v>
      </c>
      <c r="D13" s="977" t="s">
        <v>4</v>
      </c>
      <c r="E13" s="978" t="s">
        <v>8</v>
      </c>
      <c r="F13" s="979"/>
    </row>
    <row r="14" spans="2:6">
      <c r="B14" s="980" t="s">
        <v>399</v>
      </c>
      <c r="C14" s="999">
        <f>IF(C10=1,2*(C6+C7),0)</f>
        <v>0</v>
      </c>
      <c r="D14" s="461"/>
      <c r="E14" s="994">
        <f>C14*D14</f>
        <v>0</v>
      </c>
      <c r="F14" s="982"/>
    </row>
    <row r="15" spans="2:6">
      <c r="B15" s="344" t="s">
        <v>400</v>
      </c>
      <c r="C15" s="1000">
        <f>IF(C11=1,C6+C7,0)</f>
        <v>0</v>
      </c>
      <c r="D15" s="554"/>
      <c r="E15" s="995">
        <f t="shared" ref="E15:E36" si="0">C15*D15</f>
        <v>0</v>
      </c>
      <c r="F15" s="982"/>
    </row>
    <row r="16" spans="2:6">
      <c r="B16" s="349" t="s">
        <v>941</v>
      </c>
      <c r="C16" s="1001">
        <f>IF(AND(C6+C7&gt;0,C4&lt;=1),(C6+C7)*2,IF(AND(C6+C7&gt;0,C4&lt;=1.5),(C6+C7)*3,IF(AND(C6+C7&gt;0,C4&lt;=2),(C6+C7)*4,IF(AND(C6+C7&gt;0,C4&lt;=2.5),(C6+C7)*5,IF(AND(C6+C7&gt;0,C4&lt;=3),(C6+C7)*6,0)))))</f>
        <v>0</v>
      </c>
      <c r="D16" s="554"/>
      <c r="E16" s="995">
        <f t="shared" si="0"/>
        <v>0</v>
      </c>
      <c r="F16" s="982"/>
    </row>
    <row r="17" spans="2:6">
      <c r="B17" s="349" t="s">
        <v>942</v>
      </c>
      <c r="C17" s="1001">
        <f>(C6+C7)</f>
        <v>0</v>
      </c>
      <c r="D17" s="554"/>
      <c r="E17" s="995">
        <f t="shared" si="0"/>
        <v>0</v>
      </c>
      <c r="F17" s="982"/>
    </row>
    <row r="18" spans="2:6">
      <c r="B18" s="349" t="s">
        <v>943</v>
      </c>
      <c r="C18" s="1001">
        <f>C6+C7</f>
        <v>0</v>
      </c>
      <c r="D18" s="554"/>
      <c r="E18" s="995">
        <f t="shared" si="0"/>
        <v>0</v>
      </c>
      <c r="F18" s="982"/>
    </row>
    <row r="19" spans="2:6">
      <c r="B19" s="344" t="s">
        <v>944</v>
      </c>
      <c r="C19" s="1002">
        <f>(C6+C7)*2</f>
        <v>0</v>
      </c>
      <c r="D19" s="554"/>
      <c r="E19" s="995">
        <f t="shared" si="0"/>
        <v>0</v>
      </c>
      <c r="F19" s="982"/>
    </row>
    <row r="20" spans="2:6">
      <c r="B20" s="349" t="s">
        <v>119</v>
      </c>
      <c r="C20" s="1000">
        <f>IF(C7&gt;0,C4*C7,0)</f>
        <v>0</v>
      </c>
      <c r="D20" s="554"/>
      <c r="E20" s="995">
        <f t="shared" si="0"/>
        <v>0</v>
      </c>
      <c r="F20" s="982"/>
    </row>
    <row r="21" spans="2:6">
      <c r="B21" s="349" t="s">
        <v>945</v>
      </c>
      <c r="C21" s="1000">
        <f>C4*(C6+C7)</f>
        <v>0</v>
      </c>
      <c r="D21" s="554"/>
      <c r="E21" s="995">
        <f t="shared" si="0"/>
        <v>0</v>
      </c>
      <c r="F21" s="982"/>
    </row>
    <row r="22" spans="2:6">
      <c r="B22" s="344" t="s">
        <v>946</v>
      </c>
      <c r="C22" s="1000">
        <f>C4*C6</f>
        <v>0</v>
      </c>
      <c r="D22" s="554"/>
      <c r="E22" s="995">
        <f t="shared" si="0"/>
        <v>0</v>
      </c>
      <c r="F22" s="982"/>
    </row>
    <row r="23" spans="2:6">
      <c r="B23" s="344" t="s">
        <v>947</v>
      </c>
      <c r="C23" s="1001">
        <f>C4*C6</f>
        <v>0</v>
      </c>
      <c r="D23" s="554"/>
      <c r="E23" s="995">
        <f t="shared" si="0"/>
        <v>0</v>
      </c>
      <c r="F23" s="982"/>
    </row>
    <row r="24" spans="2:6">
      <c r="B24" s="344" t="s">
        <v>948</v>
      </c>
      <c r="C24" s="1000">
        <f>C4*C7</f>
        <v>0</v>
      </c>
      <c r="D24" s="554"/>
      <c r="E24" s="995">
        <f t="shared" si="0"/>
        <v>0</v>
      </c>
      <c r="F24" s="982"/>
    </row>
    <row r="25" spans="2:6">
      <c r="B25" s="344" t="s">
        <v>949</v>
      </c>
      <c r="C25" s="1000">
        <f>C4*(C6+C7)</f>
        <v>0</v>
      </c>
      <c r="D25" s="554"/>
      <c r="E25" s="995">
        <f t="shared" si="0"/>
        <v>0</v>
      </c>
      <c r="F25" s="982"/>
    </row>
    <row r="26" spans="2:6">
      <c r="B26" s="344" t="s">
        <v>950</v>
      </c>
      <c r="C26" s="1000">
        <f>C6</f>
        <v>0</v>
      </c>
      <c r="D26" s="554"/>
      <c r="E26" s="995">
        <f t="shared" si="0"/>
        <v>0</v>
      </c>
      <c r="F26" s="982"/>
    </row>
    <row r="27" spans="2:6">
      <c r="B27" s="349" t="s">
        <v>951</v>
      </c>
      <c r="C27" s="1001">
        <f>C7</f>
        <v>0</v>
      </c>
      <c r="D27" s="554"/>
      <c r="E27" s="995">
        <f t="shared" si="0"/>
        <v>0</v>
      </c>
      <c r="F27" s="982"/>
    </row>
    <row r="28" spans="2:6">
      <c r="B28" s="349" t="s">
        <v>789</v>
      </c>
      <c r="C28" s="1001">
        <f>(C6+C7)*4</f>
        <v>0</v>
      </c>
      <c r="D28" s="554"/>
      <c r="E28" s="995">
        <f t="shared" si="0"/>
        <v>0</v>
      </c>
      <c r="F28" s="982"/>
    </row>
    <row r="29" spans="2:6">
      <c r="B29" s="349" t="s">
        <v>401</v>
      </c>
      <c r="C29" s="1001">
        <f>C4*(C6+C7)</f>
        <v>0</v>
      </c>
      <c r="D29" s="554"/>
      <c r="E29" s="995">
        <f t="shared" si="0"/>
        <v>0</v>
      </c>
      <c r="F29" s="982"/>
    </row>
    <row r="30" spans="2:6">
      <c r="B30" s="349" t="s">
        <v>953</v>
      </c>
      <c r="C30" s="1001">
        <f>C7</f>
        <v>0</v>
      </c>
      <c r="D30" s="554"/>
      <c r="E30" s="995">
        <f t="shared" si="0"/>
        <v>0</v>
      </c>
      <c r="F30" s="982"/>
    </row>
    <row r="31" spans="2:6">
      <c r="B31" s="349" t="s">
        <v>954</v>
      </c>
      <c r="C31" s="1001">
        <f>C6</f>
        <v>0</v>
      </c>
      <c r="D31" s="554"/>
      <c r="E31" s="995">
        <f t="shared" si="0"/>
        <v>0</v>
      </c>
      <c r="F31" s="982"/>
    </row>
    <row r="32" spans="2:6">
      <c r="B32" s="349" t="s">
        <v>956</v>
      </c>
      <c r="C32" s="1001">
        <f>C6+C7</f>
        <v>0</v>
      </c>
      <c r="D32" s="554"/>
      <c r="E32" s="995">
        <f t="shared" si="0"/>
        <v>0</v>
      </c>
      <c r="F32" s="982"/>
    </row>
    <row r="33" spans="2:6">
      <c r="B33" s="349" t="s">
        <v>955</v>
      </c>
      <c r="C33" s="1001">
        <f>C7</f>
        <v>0</v>
      </c>
      <c r="D33" s="554"/>
      <c r="E33" s="995">
        <f t="shared" si="0"/>
        <v>0</v>
      </c>
      <c r="F33" s="982"/>
    </row>
    <row r="34" spans="2:6" ht="12.75">
      <c r="B34" s="997" t="s">
        <v>145</v>
      </c>
      <c r="C34" s="1001">
        <f>C9</f>
        <v>0</v>
      </c>
      <c r="D34" s="554"/>
      <c r="E34" s="995">
        <f t="shared" si="0"/>
        <v>0</v>
      </c>
      <c r="F34" s="982"/>
    </row>
    <row r="35" spans="2:6">
      <c r="B35" s="349" t="s">
        <v>402</v>
      </c>
      <c r="C35" s="1001">
        <f>IF(C11=1,C4*(C6+C7),0)</f>
        <v>0</v>
      </c>
      <c r="D35" s="554"/>
      <c r="E35" s="995">
        <f t="shared" si="0"/>
        <v>0</v>
      </c>
      <c r="F35" s="982"/>
    </row>
    <row r="36" spans="2:6" ht="12" thickBot="1">
      <c r="B36" s="986" t="s">
        <v>952</v>
      </c>
      <c r="C36" s="1003">
        <f>C6</f>
        <v>0</v>
      </c>
      <c r="D36" s="593"/>
      <c r="E36" s="996">
        <f t="shared" si="0"/>
        <v>0</v>
      </c>
      <c r="F36" s="982"/>
    </row>
    <row r="37" spans="2:6" ht="13.5" thickBot="1">
      <c r="B37" s="319"/>
      <c r="C37" s="319"/>
      <c r="D37" s="387" t="s">
        <v>9</v>
      </c>
      <c r="E37" s="988">
        <f>SUMIF(E14:E36,"&gt;0",E14:E36)</f>
        <v>0</v>
      </c>
      <c r="F37" s="982"/>
    </row>
    <row r="38" spans="2:6">
      <c r="F38" s="982"/>
    </row>
    <row r="39" spans="2:6">
      <c r="F39" s="982"/>
    </row>
    <row r="40" spans="2:6" ht="15.75" thickBot="1">
      <c r="B40" s="993" t="s">
        <v>957</v>
      </c>
      <c r="F40" s="982"/>
    </row>
    <row r="41" spans="2:6" ht="12.75">
      <c r="B41" s="574" t="s">
        <v>489</v>
      </c>
      <c r="C41" s="1004">
        <f>IF(C8=1,C6+C7,0)</f>
        <v>0</v>
      </c>
      <c r="D41" s="989"/>
      <c r="E41" s="577">
        <f t="shared" ref="E41:E46" si="1">C41*D41</f>
        <v>0</v>
      </c>
      <c r="F41" s="982"/>
    </row>
    <row r="42" spans="2:6" ht="12.75">
      <c r="B42" s="421" t="s">
        <v>486</v>
      </c>
      <c r="C42" s="1005">
        <f>IF(C8=6,C6+C7,0)</f>
        <v>0</v>
      </c>
      <c r="D42" s="614"/>
      <c r="E42" s="326">
        <f t="shared" si="1"/>
        <v>0</v>
      </c>
      <c r="F42" s="982"/>
    </row>
    <row r="43" spans="2:6" ht="12.75">
      <c r="B43" s="421" t="s">
        <v>591</v>
      </c>
      <c r="C43" s="1005">
        <f>IF(C8=5,C6+C7,0)</f>
        <v>0</v>
      </c>
      <c r="D43" s="614"/>
      <c r="E43" s="326">
        <f t="shared" si="1"/>
        <v>0</v>
      </c>
      <c r="F43" s="982"/>
    </row>
    <row r="44" spans="2:6" ht="12.75">
      <c r="B44" s="421" t="s">
        <v>487</v>
      </c>
      <c r="C44" s="1005">
        <f>IF(C8=2,C6+C7,0)</f>
        <v>0</v>
      </c>
      <c r="D44" s="614"/>
      <c r="E44" s="326">
        <f t="shared" si="1"/>
        <v>0</v>
      </c>
      <c r="F44" s="982"/>
    </row>
    <row r="45" spans="2:6" ht="12.75">
      <c r="B45" s="421" t="s">
        <v>488</v>
      </c>
      <c r="C45" s="1005">
        <f>IF(C8=3,C6+C7,0)</f>
        <v>0</v>
      </c>
      <c r="D45" s="614"/>
      <c r="E45" s="326">
        <f t="shared" si="1"/>
        <v>0</v>
      </c>
      <c r="F45" s="982"/>
    </row>
    <row r="46" spans="2:6" ht="13.5" thickBot="1">
      <c r="B46" s="990" t="s">
        <v>494</v>
      </c>
      <c r="C46" s="1006">
        <f>IF(C8=4,C6+C7,0)</f>
        <v>0</v>
      </c>
      <c r="D46" s="991"/>
      <c r="E46" s="336">
        <f t="shared" si="1"/>
        <v>0</v>
      </c>
      <c r="F46" s="982"/>
    </row>
    <row r="47" spans="2:6" ht="13.5" thickBot="1">
      <c r="D47" s="992" t="s">
        <v>9</v>
      </c>
      <c r="E47" s="998">
        <f>SUMIF(E41:E46,"&gt;0",E41:E46)</f>
        <v>0</v>
      </c>
      <c r="F47" s="982"/>
    </row>
    <row r="48" spans="2:6">
      <c r="F48" s="982"/>
    </row>
  </sheetData>
  <sheetProtection algorithmName="SHA-512" hashValue="MiL5p9Ik9aeqH8YhTTZXOPJeYstjq0UmiMKuBaR5pWSQAHdhq9Cy/PZKRlGraeD0Q1cRv8OH0N34LCKgfi0hRg==" saltValue="OYFef3iUY/TiA/B6XXQI0Q==" spinCount="100000" sheet="1" objects="1" scenarios="1"/>
  <mergeCells count="7">
    <mergeCell ref="B3:E3"/>
    <mergeCell ref="D4:F5"/>
    <mergeCell ref="D6:F7"/>
    <mergeCell ref="F10:F11"/>
    <mergeCell ref="B12:E12"/>
    <mergeCell ref="D8:F8"/>
    <mergeCell ref="D9:E9"/>
  </mergeCells>
  <conditionalFormatting sqref="C14:E36">
    <cfRule type="cellIs" dxfId="173" priority="23" operator="greaterThan">
      <formula>0</formula>
    </cfRule>
  </conditionalFormatting>
  <conditionalFormatting sqref="E37">
    <cfRule type="cellIs" dxfId="172" priority="22" operator="greaterThan">
      <formula>0</formula>
    </cfRule>
  </conditionalFormatting>
  <conditionalFormatting sqref="D41:D46">
    <cfRule type="cellIs" dxfId="171" priority="13" operator="greaterThan">
      <formula>0</formula>
    </cfRule>
    <cfRule type="cellIs" dxfId="170" priority="14" operator="greaterThan">
      <formula>0</formula>
    </cfRule>
  </conditionalFormatting>
  <conditionalFormatting sqref="C41:C42 C44:C46">
    <cfRule type="cellIs" dxfId="169" priority="19" operator="equal">
      <formula>"ДА"</formula>
    </cfRule>
    <cfRule type="cellIs" dxfId="168" priority="20" operator="equal">
      <formula>"НЕТ"</formula>
    </cfRule>
  </conditionalFormatting>
  <conditionalFormatting sqref="C41:C42 C44:C46">
    <cfRule type="colorScale" priority="2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43">
    <cfRule type="cellIs" dxfId="167" priority="16" operator="equal">
      <formula>"ДА"</formula>
    </cfRule>
    <cfRule type="cellIs" dxfId="166" priority="17" operator="equal">
      <formula>"НЕТ"</formula>
    </cfRule>
  </conditionalFormatting>
  <conditionalFormatting sqref="C43">
    <cfRule type="colorScale" priority="1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41:E46">
    <cfRule type="cellIs" dxfId="165" priority="15" operator="greaterThan">
      <formula>0</formula>
    </cfRule>
  </conditionalFormatting>
  <conditionalFormatting sqref="C41:C46">
    <cfRule type="cellIs" dxfId="164" priority="11" operator="equal">
      <formula>"НЕТ"</formula>
    </cfRule>
    <cfRule type="cellIs" dxfId="163" priority="12" operator="equal">
      <formula>"ДА"</formula>
    </cfRule>
  </conditionalFormatting>
  <conditionalFormatting sqref="C41:C46">
    <cfRule type="cellIs" dxfId="162" priority="10" operator="equal">
      <formula>"ДА"</formula>
    </cfRule>
  </conditionalFormatting>
  <conditionalFormatting sqref="C43">
    <cfRule type="cellIs" dxfId="161" priority="7" operator="equal">
      <formula>"ДА"</formula>
    </cfRule>
    <cfRule type="cellIs" dxfId="160" priority="8" operator="equal">
      <formula>"НЕТ"</formula>
    </cfRule>
  </conditionalFormatting>
  <conditionalFormatting sqref="C43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41:E46">
    <cfRule type="cellIs" dxfId="159" priority="1" operator="greaterThan">
      <formula>0</formula>
    </cfRule>
    <cfRule type="cellIs" dxfId="158" priority="2" operator="greaterThan">
      <formula>0</formula>
    </cfRule>
    <cfRule type="cellIs" dxfId="157" priority="6" operator="greaterThan">
      <formula>0</formula>
    </cfRule>
  </conditionalFormatting>
  <conditionalFormatting sqref="C43">
    <cfRule type="cellIs" dxfId="156" priority="3" operator="equal">
      <formula>"ДА"</formula>
    </cfRule>
    <cfRule type="cellIs" dxfId="155" priority="4" operator="equal">
      <formula>"НЕТ"</formula>
    </cfRule>
  </conditionalFormatting>
  <conditionalFormatting sqref="C43">
    <cfRule type="colorScale" priority="5">
      <colorScale>
        <cfvo type="num" val="&quot;НЕТ&quot;"/>
        <cfvo type="num" val="&quot;ДА&quot;"/>
        <color rgb="FFFF0000"/>
        <color rgb="FF00B050"/>
      </colorScale>
    </cfRule>
  </conditionalFormatting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9"/>
  <sheetViews>
    <sheetView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D15" sqref="D15:D39"/>
    </sheetView>
  </sheetViews>
  <sheetFormatPr defaultRowHeight="11.25"/>
  <cols>
    <col min="2" max="2" width="53.1640625" customWidth="1"/>
    <col min="3" max="3" width="13.83203125" customWidth="1"/>
    <col min="4" max="4" width="13.1640625" customWidth="1"/>
    <col min="5" max="5" width="14.1640625" customWidth="1"/>
    <col min="6" max="6" width="29" customWidth="1"/>
  </cols>
  <sheetData>
    <row r="3" spans="2:6" ht="27" thickBot="1">
      <c r="B3" s="1168"/>
      <c r="C3" s="1169"/>
      <c r="D3" s="1169"/>
      <c r="E3" s="1169"/>
      <c r="F3" s="951"/>
    </row>
    <row r="4" spans="2:6">
      <c r="B4" s="967" t="s">
        <v>10</v>
      </c>
      <c r="C4" s="968">
        <v>0</v>
      </c>
      <c r="D4" s="1321" t="s">
        <v>595</v>
      </c>
      <c r="E4" s="1321"/>
      <c r="F4" s="1322"/>
    </row>
    <row r="5" spans="2:6" ht="12" thickBot="1">
      <c r="B5" s="969" t="s">
        <v>1</v>
      </c>
      <c r="C5" s="970">
        <v>0</v>
      </c>
      <c r="D5" s="1323"/>
      <c r="E5" s="1323"/>
      <c r="F5" s="1324"/>
    </row>
    <row r="6" spans="2:6">
      <c r="B6" s="967" t="s">
        <v>940</v>
      </c>
      <c r="C6" s="971">
        <v>0</v>
      </c>
      <c r="D6" s="1325" t="s">
        <v>597</v>
      </c>
      <c r="E6" s="1325"/>
      <c r="F6" s="1326"/>
    </row>
    <row r="7" spans="2:6" ht="12" thickBot="1">
      <c r="B7" s="969" t="s">
        <v>414</v>
      </c>
      <c r="C7" s="972">
        <v>0</v>
      </c>
      <c r="D7" s="1327"/>
      <c r="E7" s="1327"/>
      <c r="F7" s="1328"/>
    </row>
    <row r="8" spans="2:6" ht="12" thickBot="1">
      <c r="B8" s="1007" t="s">
        <v>959</v>
      </c>
      <c r="C8" s="971">
        <v>0</v>
      </c>
      <c r="D8" s="513" t="s">
        <v>960</v>
      </c>
      <c r="E8" s="367" t="s">
        <v>961</v>
      </c>
      <c r="F8" s="1008"/>
    </row>
    <row r="9" spans="2:6" ht="24" customHeight="1">
      <c r="B9" s="820" t="s">
        <v>589</v>
      </c>
      <c r="C9" s="837">
        <v>4</v>
      </c>
      <c r="D9" s="1331" t="s">
        <v>958</v>
      </c>
      <c r="E9" s="1332"/>
      <c r="F9" s="1333"/>
    </row>
    <row r="10" spans="2:6" ht="12" thickBot="1">
      <c r="B10" s="821" t="s">
        <v>277</v>
      </c>
      <c r="C10" s="836">
        <v>0</v>
      </c>
      <c r="D10" s="1165" t="s">
        <v>30</v>
      </c>
      <c r="E10" s="1166"/>
      <c r="F10" s="974"/>
    </row>
    <row r="11" spans="2:6" ht="11.25" customHeight="1">
      <c r="B11" s="967" t="s">
        <v>397</v>
      </c>
      <c r="C11" s="971">
        <v>0</v>
      </c>
      <c r="D11" s="513" t="s">
        <v>287</v>
      </c>
      <c r="E11" s="367" t="s">
        <v>255</v>
      </c>
      <c r="F11" s="1334" t="s">
        <v>597</v>
      </c>
    </row>
    <row r="12" spans="2:6" ht="12" thickBot="1">
      <c r="B12" s="969" t="s">
        <v>398</v>
      </c>
      <c r="C12" s="972">
        <v>0</v>
      </c>
      <c r="D12" s="973" t="s">
        <v>287</v>
      </c>
      <c r="E12" s="1009" t="s">
        <v>255</v>
      </c>
      <c r="F12" s="1335"/>
    </row>
    <row r="13" spans="2:6" ht="12" thickBot="1">
      <c r="B13" s="1263"/>
      <c r="C13" s="1263"/>
      <c r="D13" s="1263"/>
      <c r="E13" s="1263"/>
      <c r="F13" s="952"/>
    </row>
    <row r="14" spans="2:6" ht="13.5" thickBot="1">
      <c r="B14" s="975" t="s">
        <v>5</v>
      </c>
      <c r="C14" s="976" t="s">
        <v>0</v>
      </c>
      <c r="D14" s="977" t="s">
        <v>4</v>
      </c>
      <c r="E14" s="978" t="s">
        <v>8</v>
      </c>
      <c r="F14" s="979"/>
    </row>
    <row r="15" spans="2:6">
      <c r="B15" s="980" t="s">
        <v>399</v>
      </c>
      <c r="C15" s="999">
        <f>IF(C11=1,C6+C7,0)</f>
        <v>0</v>
      </c>
      <c r="D15" s="461"/>
      <c r="E15" s="1010">
        <v>0</v>
      </c>
      <c r="F15" s="982"/>
    </row>
    <row r="16" spans="2:6">
      <c r="B16" s="344" t="s">
        <v>400</v>
      </c>
      <c r="C16" s="1000">
        <f>IF(C12=1,C6+C7,0)</f>
        <v>0</v>
      </c>
      <c r="D16" s="554"/>
      <c r="E16" s="1011">
        <v>0</v>
      </c>
      <c r="F16" s="982"/>
    </row>
    <row r="17" spans="2:6">
      <c r="B17" s="349" t="s">
        <v>962</v>
      </c>
      <c r="C17" s="1001">
        <f>IF(AND(C6+C7&gt;0,C4&lt;=1),(C6+C7)*2,IF(AND(C6+C7&gt;0,C4&lt;=1.5),(C6+C7)*3,IF(AND(C6+C7&gt;0,C4&lt;=2),(C6+C7)*4,IF(AND(C6+C7&gt;0,C4&lt;=2.5),(C6+C7)*5,IF(AND(C6+C7&gt;0,C4&lt;=3),(C6+C7)*6,0)))))</f>
        <v>0</v>
      </c>
      <c r="D17" s="554"/>
      <c r="E17" s="1011">
        <v>0</v>
      </c>
      <c r="F17" s="982"/>
    </row>
    <row r="18" spans="2:6">
      <c r="B18" s="349" t="s">
        <v>963</v>
      </c>
      <c r="C18" s="1001">
        <f>IF(AND(C6+C7&gt;0,C4&lt;=1,C8=1),(C6+C7)*2,IF(AND(C6+C7&gt;0,C4&lt;=1.5,C8=1),(C6+C7)*3,IF(AND(C6+C7&gt;0,C4&lt;=2,C8=1),(C6+C7)*4,IF(AND(C6+C7&gt;0,C4&lt;=2.5,C8=1),(C6+C7)*5,IF(AND(C6+C7&gt;0,C4&lt;=3,C8=1),(C6+C7)*6,0)))))</f>
        <v>0</v>
      </c>
      <c r="D18" s="554"/>
      <c r="E18" s="1011">
        <v>0</v>
      </c>
      <c r="F18" s="982"/>
    </row>
    <row r="19" spans="2:6">
      <c r="B19" s="349" t="s">
        <v>964</v>
      </c>
      <c r="C19" s="1001">
        <f>C6+C7</f>
        <v>0</v>
      </c>
      <c r="D19" s="554"/>
      <c r="E19" s="1011">
        <v>0</v>
      </c>
      <c r="F19" s="982"/>
    </row>
    <row r="20" spans="2:6">
      <c r="B20" s="349" t="s">
        <v>965</v>
      </c>
      <c r="C20" s="1001">
        <f>C6+C7</f>
        <v>0</v>
      </c>
      <c r="D20" s="554"/>
      <c r="E20" s="1011">
        <v>0</v>
      </c>
      <c r="F20" s="982"/>
    </row>
    <row r="21" spans="2:6">
      <c r="B21" s="344" t="s">
        <v>966</v>
      </c>
      <c r="C21" s="1002">
        <f>C6+C7</f>
        <v>0</v>
      </c>
      <c r="D21" s="554"/>
      <c r="E21" s="1011">
        <v>0</v>
      </c>
      <c r="F21" s="982"/>
    </row>
    <row r="22" spans="2:6">
      <c r="B22" s="349" t="s">
        <v>119</v>
      </c>
      <c r="C22" s="1000">
        <f>IF(C7&gt;0,C4*C7,0)</f>
        <v>0</v>
      </c>
      <c r="D22" s="554"/>
      <c r="E22" s="1011">
        <v>0</v>
      </c>
      <c r="F22" s="982"/>
    </row>
    <row r="23" spans="2:6">
      <c r="B23" s="349" t="s">
        <v>945</v>
      </c>
      <c r="C23" s="1000">
        <f>C4*(C6+C7)</f>
        <v>0</v>
      </c>
      <c r="D23" s="554"/>
      <c r="E23" s="1011">
        <v>0</v>
      </c>
      <c r="F23" s="982"/>
    </row>
    <row r="24" spans="2:6">
      <c r="B24" s="344" t="s">
        <v>946</v>
      </c>
      <c r="C24" s="1000">
        <f>C4*C6</f>
        <v>0</v>
      </c>
      <c r="D24" s="554"/>
      <c r="E24" s="1011">
        <v>0</v>
      </c>
      <c r="F24" s="982"/>
    </row>
    <row r="25" spans="2:6">
      <c r="B25" s="344" t="s">
        <v>947</v>
      </c>
      <c r="C25" s="1001">
        <f>C4*C6</f>
        <v>0</v>
      </c>
      <c r="D25" s="554"/>
      <c r="E25" s="1011">
        <v>0</v>
      </c>
      <c r="F25" s="982"/>
    </row>
    <row r="26" spans="2:6">
      <c r="B26" s="344" t="s">
        <v>948</v>
      </c>
      <c r="C26" s="1000">
        <f>C7*C4</f>
        <v>0</v>
      </c>
      <c r="D26" s="554"/>
      <c r="E26" s="1011">
        <v>0</v>
      </c>
      <c r="F26" s="982"/>
    </row>
    <row r="27" spans="2:6">
      <c r="B27" s="344" t="s">
        <v>967</v>
      </c>
      <c r="C27" s="1000">
        <f>C4*(C6+C7)</f>
        <v>0</v>
      </c>
      <c r="D27" s="554"/>
      <c r="E27" s="1011">
        <v>0</v>
      </c>
      <c r="F27" s="982"/>
    </row>
    <row r="28" spans="2:6">
      <c r="B28" s="344" t="s">
        <v>968</v>
      </c>
      <c r="C28" s="1000">
        <f>C4*(C6+C7)</f>
        <v>0</v>
      </c>
      <c r="D28" s="554"/>
      <c r="E28" s="1011">
        <v>0</v>
      </c>
      <c r="F28" s="982"/>
    </row>
    <row r="29" spans="2:6">
      <c r="B29" s="344" t="s">
        <v>950</v>
      </c>
      <c r="C29" s="1000">
        <f>C6</f>
        <v>0</v>
      </c>
      <c r="D29" s="554"/>
      <c r="E29" s="1011">
        <v>0</v>
      </c>
      <c r="F29" s="982"/>
    </row>
    <row r="30" spans="2:6">
      <c r="B30" s="349" t="s">
        <v>951</v>
      </c>
      <c r="C30" s="1001">
        <f>C7</f>
        <v>0</v>
      </c>
      <c r="D30" s="554"/>
      <c r="E30" s="1011">
        <v>0</v>
      </c>
      <c r="F30" s="982"/>
    </row>
    <row r="31" spans="2:6">
      <c r="B31" s="349" t="s">
        <v>789</v>
      </c>
      <c r="C31" s="1001">
        <f>(C6+C7)*8</f>
        <v>0</v>
      </c>
      <c r="D31" s="554"/>
      <c r="E31" s="1011">
        <v>0</v>
      </c>
      <c r="F31" s="982"/>
    </row>
    <row r="32" spans="2:6">
      <c r="B32" s="349" t="s">
        <v>401</v>
      </c>
      <c r="C32" s="1001">
        <f>C4*(C6+C7)</f>
        <v>0</v>
      </c>
      <c r="D32" s="554"/>
      <c r="E32" s="1011">
        <v>0</v>
      </c>
      <c r="F32" s="982"/>
    </row>
    <row r="33" spans="2:6">
      <c r="B33" s="349" t="s">
        <v>953</v>
      </c>
      <c r="C33" s="1001">
        <f>C7</f>
        <v>0</v>
      </c>
      <c r="D33" s="554"/>
      <c r="E33" s="1011"/>
      <c r="F33" s="982"/>
    </row>
    <row r="34" spans="2:6">
      <c r="B34" s="349" t="s">
        <v>954</v>
      </c>
      <c r="C34" s="1001">
        <f>C6</f>
        <v>0</v>
      </c>
      <c r="D34" s="554"/>
      <c r="E34" s="1011"/>
      <c r="F34" s="982"/>
    </row>
    <row r="35" spans="2:6">
      <c r="B35" s="349" t="s">
        <v>956</v>
      </c>
      <c r="C35" s="1001">
        <f>C6+C7</f>
        <v>0</v>
      </c>
      <c r="D35" s="554"/>
      <c r="E35" s="1011"/>
      <c r="F35" s="982"/>
    </row>
    <row r="36" spans="2:6">
      <c r="B36" s="349" t="s">
        <v>955</v>
      </c>
      <c r="C36" s="1001">
        <f>C7</f>
        <v>0</v>
      </c>
      <c r="D36" s="554"/>
      <c r="E36" s="1011"/>
      <c r="F36" s="982"/>
    </row>
    <row r="37" spans="2:6" ht="12.75">
      <c r="B37" s="997" t="s">
        <v>145</v>
      </c>
      <c r="C37" s="1001">
        <f>C10</f>
        <v>0</v>
      </c>
      <c r="D37" s="554"/>
      <c r="E37" s="1011"/>
      <c r="F37" s="982"/>
    </row>
    <row r="38" spans="2:6">
      <c r="B38" s="349" t="s">
        <v>402</v>
      </c>
      <c r="C38" s="1001">
        <f>IF(C12=1,C4*(C6+C7),0)</f>
        <v>0</v>
      </c>
      <c r="D38" s="554"/>
      <c r="E38" s="1011">
        <v>0</v>
      </c>
      <c r="F38" s="982"/>
    </row>
    <row r="39" spans="2:6" ht="12" thickBot="1">
      <c r="B39" s="986" t="s">
        <v>952</v>
      </c>
      <c r="C39" s="1003">
        <f>C6</f>
        <v>0</v>
      </c>
      <c r="D39" s="593"/>
      <c r="E39" s="1012">
        <v>0</v>
      </c>
      <c r="F39" s="982"/>
    </row>
    <row r="40" spans="2:6" ht="13.5" thickBot="1">
      <c r="B40" s="319"/>
      <c r="C40" s="319"/>
      <c r="D40" s="387" t="s">
        <v>9</v>
      </c>
      <c r="E40" s="988">
        <f>SUMIF(E15:E39,"&gt;0",E15:E39)</f>
        <v>0</v>
      </c>
      <c r="F40" s="982"/>
    </row>
    <row r="41" spans="2:6">
      <c r="F41" s="982"/>
    </row>
    <row r="42" spans="2:6" ht="15.75" thickBot="1">
      <c r="B42" s="993" t="s">
        <v>957</v>
      </c>
      <c r="F42" s="982"/>
    </row>
    <row r="43" spans="2:6" ht="12.75">
      <c r="B43" s="574" t="s">
        <v>489</v>
      </c>
      <c r="C43" s="1004">
        <f>IF(C9=1,C6+C7,0)</f>
        <v>0</v>
      </c>
      <c r="D43" s="989"/>
      <c r="E43" s="577">
        <f t="shared" ref="E43:E48" si="0">C43*D43</f>
        <v>0</v>
      </c>
      <c r="F43" s="982"/>
    </row>
    <row r="44" spans="2:6" ht="12.75">
      <c r="B44" s="421" t="s">
        <v>486</v>
      </c>
      <c r="C44" s="1005">
        <f>IF(C9=6,C6+C7,0)</f>
        <v>0</v>
      </c>
      <c r="D44" s="614"/>
      <c r="E44" s="326">
        <f t="shared" si="0"/>
        <v>0</v>
      </c>
      <c r="F44" s="982"/>
    </row>
    <row r="45" spans="2:6" ht="12.75">
      <c r="B45" s="421" t="s">
        <v>591</v>
      </c>
      <c r="C45" s="1005">
        <f>IF(C9=5,C6+C7,0)</f>
        <v>0</v>
      </c>
      <c r="D45" s="614"/>
      <c r="E45" s="326">
        <f t="shared" si="0"/>
        <v>0</v>
      </c>
      <c r="F45" s="982"/>
    </row>
    <row r="46" spans="2:6" ht="12.75">
      <c r="B46" s="421" t="s">
        <v>487</v>
      </c>
      <c r="C46" s="1005">
        <f>IF(C9=2,C6+C7,0)</f>
        <v>0</v>
      </c>
      <c r="D46" s="614"/>
      <c r="E46" s="326">
        <f t="shared" si="0"/>
        <v>0</v>
      </c>
      <c r="F46" s="982"/>
    </row>
    <row r="47" spans="2:6" ht="12.75">
      <c r="B47" s="421" t="s">
        <v>488</v>
      </c>
      <c r="C47" s="1005">
        <f>IF(C9=3,C6+C7,0)</f>
        <v>0</v>
      </c>
      <c r="D47" s="614"/>
      <c r="E47" s="326">
        <f t="shared" si="0"/>
        <v>0</v>
      </c>
      <c r="F47" s="982"/>
    </row>
    <row r="48" spans="2:6" ht="13.5" thickBot="1">
      <c r="B48" s="990" t="s">
        <v>494</v>
      </c>
      <c r="C48" s="1006">
        <f>IF(C9=4,C6+C7,0)</f>
        <v>0</v>
      </c>
      <c r="D48" s="991"/>
      <c r="E48" s="336">
        <f t="shared" si="0"/>
        <v>0</v>
      </c>
      <c r="F48" s="982"/>
    </row>
    <row r="49" spans="4:5" ht="13.5" thickBot="1">
      <c r="D49" s="992" t="s">
        <v>9</v>
      </c>
      <c r="E49" s="998">
        <f>SUMIF(E43:E48,"&gt;0",E43:E48)</f>
        <v>0</v>
      </c>
    </row>
  </sheetData>
  <sheetProtection algorithmName="SHA-512" hashValue="tDJlvA9VGQdc0w47bOwESkbixh0J0Gfuc9BsTVkUAe8w0Uym00gSKJM8eDgi4SVJYYD1aXnK9zjwWk/u4zaGqw==" saltValue="PJNpEvP0Wr0uXpYhVBERrw==" spinCount="100000" sheet="1" objects="1" scenarios="1"/>
  <mergeCells count="7">
    <mergeCell ref="B3:E3"/>
    <mergeCell ref="D4:F5"/>
    <mergeCell ref="D6:F7"/>
    <mergeCell ref="F11:F12"/>
    <mergeCell ref="B13:E13"/>
    <mergeCell ref="D9:F9"/>
    <mergeCell ref="D10:E10"/>
  </mergeCells>
  <conditionalFormatting sqref="C15:E39">
    <cfRule type="cellIs" dxfId="154" priority="22" operator="greaterThan">
      <formula>0</formula>
    </cfRule>
  </conditionalFormatting>
  <conditionalFormatting sqref="E40">
    <cfRule type="cellIs" dxfId="153" priority="23" operator="greaterThan">
      <formula>0</formula>
    </cfRule>
  </conditionalFormatting>
  <conditionalFormatting sqref="D43:D48">
    <cfRule type="cellIs" dxfId="152" priority="13" operator="greaterThan">
      <formula>0</formula>
    </cfRule>
    <cfRule type="cellIs" dxfId="151" priority="14" operator="greaterThan">
      <formula>0</formula>
    </cfRule>
  </conditionalFormatting>
  <conditionalFormatting sqref="C43:C44 C46:C48">
    <cfRule type="cellIs" dxfId="150" priority="19" operator="equal">
      <formula>"ДА"</formula>
    </cfRule>
    <cfRule type="cellIs" dxfId="149" priority="20" operator="equal">
      <formula>"НЕТ"</formula>
    </cfRule>
  </conditionalFormatting>
  <conditionalFormatting sqref="C43:C44 C46:C48">
    <cfRule type="colorScale" priority="2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45">
    <cfRule type="cellIs" dxfId="148" priority="16" operator="equal">
      <formula>"ДА"</formula>
    </cfRule>
    <cfRule type="cellIs" dxfId="147" priority="17" operator="equal">
      <formula>"НЕТ"</formula>
    </cfRule>
  </conditionalFormatting>
  <conditionalFormatting sqref="C45">
    <cfRule type="colorScale" priority="1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43:E48">
    <cfRule type="cellIs" dxfId="146" priority="15" operator="greaterThan">
      <formula>0</formula>
    </cfRule>
  </conditionalFormatting>
  <conditionalFormatting sqref="C43:C48">
    <cfRule type="cellIs" dxfId="145" priority="11" operator="equal">
      <formula>"НЕТ"</formula>
    </cfRule>
    <cfRule type="cellIs" dxfId="144" priority="12" operator="equal">
      <formula>"ДА"</formula>
    </cfRule>
  </conditionalFormatting>
  <conditionalFormatting sqref="C43:C48">
    <cfRule type="cellIs" dxfId="143" priority="10" operator="equal">
      <formula>"ДА"</formula>
    </cfRule>
  </conditionalFormatting>
  <conditionalFormatting sqref="C45">
    <cfRule type="cellIs" dxfId="142" priority="7" operator="equal">
      <formula>"ДА"</formula>
    </cfRule>
    <cfRule type="cellIs" dxfId="141" priority="8" operator="equal">
      <formula>"НЕТ"</formula>
    </cfRule>
  </conditionalFormatting>
  <conditionalFormatting sqref="C45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43:E48">
    <cfRule type="cellIs" dxfId="140" priority="1" operator="greaterThan">
      <formula>0</formula>
    </cfRule>
    <cfRule type="cellIs" dxfId="139" priority="2" operator="greaterThan">
      <formula>0</formula>
    </cfRule>
    <cfRule type="cellIs" dxfId="138" priority="6" operator="greaterThan">
      <formula>0</formula>
    </cfRule>
  </conditionalFormatting>
  <conditionalFormatting sqref="C45">
    <cfRule type="cellIs" dxfId="137" priority="3" operator="equal">
      <formula>"ДА"</formula>
    </cfRule>
    <cfRule type="cellIs" dxfId="136" priority="4" operator="equal">
      <formula>"НЕТ"</formula>
    </cfRule>
  </conditionalFormatting>
  <conditionalFormatting sqref="C45">
    <cfRule type="colorScale" priority="5">
      <colorScale>
        <cfvo type="num" val="&quot;НЕТ&quot;"/>
        <cfvo type="num" val="&quot;ДА&quot;"/>
        <color rgb="FFFF0000"/>
        <color rgb="FF00B050"/>
      </colorScale>
    </cfRule>
  </conditionalFormatting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4"/>
  <sheetViews>
    <sheetView workbookViewId="0">
      <pane xSplit="1" ySplit="16" topLeftCell="B17" activePane="bottomRight" state="frozen"/>
      <selection pane="topRight" activeCell="B1" sqref="B1"/>
      <selection pane="bottomLeft" activeCell="A17" sqref="A17"/>
      <selection pane="bottomRight" activeCell="F34" sqref="F34"/>
    </sheetView>
  </sheetViews>
  <sheetFormatPr defaultRowHeight="11.25"/>
  <cols>
    <col min="2" max="2" width="51.6640625" customWidth="1"/>
    <col min="4" max="4" width="10" customWidth="1"/>
    <col min="6" max="6" width="38.83203125" customWidth="1"/>
  </cols>
  <sheetData>
    <row r="3" spans="2:6" ht="27" thickBot="1">
      <c r="B3" s="1168"/>
      <c r="C3" s="1169"/>
      <c r="D3" s="1169"/>
      <c r="E3" s="1169"/>
      <c r="F3" s="951"/>
    </row>
    <row r="4" spans="2:6">
      <c r="B4" s="967" t="s">
        <v>970</v>
      </c>
      <c r="C4" s="968">
        <v>2</v>
      </c>
      <c r="D4" s="1265" t="s">
        <v>595</v>
      </c>
      <c r="E4" s="1266"/>
      <c r="F4" s="1267"/>
    </row>
    <row r="5" spans="2:6" ht="12" thickBot="1">
      <c r="B5" s="969" t="s">
        <v>558</v>
      </c>
      <c r="C5" s="970">
        <v>0</v>
      </c>
      <c r="D5" s="1336"/>
      <c r="E5" s="1337"/>
      <c r="F5" s="1338"/>
    </row>
    <row r="6" spans="2:6">
      <c r="B6" s="967" t="s">
        <v>971</v>
      </c>
      <c r="C6" s="968">
        <v>4</v>
      </c>
      <c r="D6" s="1336"/>
      <c r="E6" s="1337"/>
      <c r="F6" s="1338"/>
    </row>
    <row r="7" spans="2:6" ht="12" thickBot="1">
      <c r="B7" s="969" t="s">
        <v>559</v>
      </c>
      <c r="C7" s="970">
        <v>0</v>
      </c>
      <c r="D7" s="1268"/>
      <c r="E7" s="1269"/>
      <c r="F7" s="1270"/>
    </row>
    <row r="8" spans="2:6">
      <c r="B8" s="967" t="s">
        <v>940</v>
      </c>
      <c r="C8" s="971">
        <v>1</v>
      </c>
      <c r="D8" s="1325" t="s">
        <v>597</v>
      </c>
      <c r="E8" s="1325"/>
      <c r="F8" s="1326"/>
    </row>
    <row r="9" spans="2:6" ht="12" thickBot="1">
      <c r="B9" s="969" t="s">
        <v>414</v>
      </c>
      <c r="C9" s="972">
        <v>0</v>
      </c>
      <c r="D9" s="1327"/>
      <c r="E9" s="1327"/>
      <c r="F9" s="1328"/>
    </row>
    <row r="10" spans="2:6" ht="12" thickBot="1">
      <c r="B10" s="1007" t="s">
        <v>959</v>
      </c>
      <c r="C10" s="971">
        <v>1</v>
      </c>
      <c r="D10" s="513" t="s">
        <v>960</v>
      </c>
      <c r="E10" s="367" t="s">
        <v>961</v>
      </c>
      <c r="F10" s="1008"/>
    </row>
    <row r="11" spans="2:6" ht="21.75" customHeight="1">
      <c r="B11" s="820" t="s">
        <v>589</v>
      </c>
      <c r="C11" s="837">
        <v>4</v>
      </c>
      <c r="D11" s="1331" t="s">
        <v>958</v>
      </c>
      <c r="E11" s="1332"/>
      <c r="F11" s="1333"/>
    </row>
    <row r="12" spans="2:6" ht="12" thickBot="1">
      <c r="B12" s="821" t="s">
        <v>277</v>
      </c>
      <c r="C12" s="836">
        <v>0</v>
      </c>
      <c r="D12" s="1165" t="s">
        <v>30</v>
      </c>
      <c r="E12" s="1166"/>
      <c r="F12" s="974"/>
    </row>
    <row r="13" spans="2:6">
      <c r="B13" s="967" t="s">
        <v>397</v>
      </c>
      <c r="C13" s="971">
        <v>0</v>
      </c>
      <c r="D13" s="513" t="s">
        <v>287</v>
      </c>
      <c r="E13" s="367" t="s">
        <v>255</v>
      </c>
      <c r="F13" s="1334" t="s">
        <v>597</v>
      </c>
    </row>
    <row r="14" spans="2:6" ht="12" thickBot="1">
      <c r="B14" s="969" t="s">
        <v>398</v>
      </c>
      <c r="C14" s="972">
        <v>0</v>
      </c>
      <c r="D14" s="973" t="s">
        <v>287</v>
      </c>
      <c r="E14" s="1009" t="s">
        <v>255</v>
      </c>
      <c r="F14" s="1335"/>
    </row>
    <row r="15" spans="2:6" ht="12" thickBot="1">
      <c r="B15" s="1263"/>
      <c r="C15" s="1263"/>
      <c r="D15" s="1263"/>
      <c r="E15" s="1263"/>
      <c r="F15" s="952"/>
    </row>
    <row r="16" spans="2:6" ht="13.5" thickBot="1">
      <c r="B16" s="975" t="s">
        <v>5</v>
      </c>
      <c r="C16" s="976" t="s">
        <v>0</v>
      </c>
      <c r="D16" s="977" t="s">
        <v>4</v>
      </c>
      <c r="E16" s="978" t="s">
        <v>8</v>
      </c>
      <c r="F16" s="979"/>
    </row>
    <row r="17" spans="2:6">
      <c r="B17" s="980" t="s">
        <v>399</v>
      </c>
      <c r="C17" s="1013">
        <f>C13*2*(C8+C9)*2</f>
        <v>0</v>
      </c>
      <c r="D17" s="461"/>
      <c r="E17" s="1010">
        <f t="shared" ref="E17:E43" si="0">D17*C17</f>
        <v>0</v>
      </c>
      <c r="F17" s="982"/>
    </row>
    <row r="18" spans="2:6">
      <c r="B18" s="344" t="s">
        <v>400</v>
      </c>
      <c r="C18" s="345">
        <f>C14*(C8+C9)*2</f>
        <v>0</v>
      </c>
      <c r="D18" s="554"/>
      <c r="E18" s="1011">
        <f t="shared" si="0"/>
        <v>0</v>
      </c>
      <c r="F18" s="982"/>
    </row>
    <row r="19" spans="2:6">
      <c r="B19" s="349" t="s">
        <v>962</v>
      </c>
      <c r="C19" s="350">
        <f>IF(AND(C8+C9&gt;0,C4+C6&lt;=1),(C8+C9)*2,IF(AND(C8+C9&gt;0,C4+C6&lt;=1.5),(C8+C9)*3,IF(AND(C8+C9&gt;0,C4+C6&lt;=2),(C8+C9)*4,IF(AND(C8+C9&gt;0,C4+C6&lt;=2.5),(C8+C9)*5,IF(AND(C8+C9&gt;0,C4+C6&lt;=3),(C8+C9)*6,IF(AND(C8+C9&gt;0,C4+C6&lt;=3.5),(C8+C9)*7,IF(AND(C8+C9&gt;0,C4+C6&lt;=4),(C8+C9)*8,IF(AND(C8+C9&gt;0,C4+C6&lt;=4.5),(C8+C9)*9,IF(AND(C8+C9&gt;0,C4+C6&lt;=5),(C8+C9)*9,IF(AND(C8+C9&gt;0,C4+C6&lt;=5.5),(C8)*10,IF(AND(C8+C9&gt;0,C4+C6&lt;=6),(C8+C9)*11,0)))))))))))</f>
        <v>11</v>
      </c>
      <c r="D19" s="554"/>
      <c r="E19" s="1011">
        <f t="shared" si="0"/>
        <v>0</v>
      </c>
      <c r="F19" s="982"/>
    </row>
    <row r="20" spans="2:6">
      <c r="B20" s="349" t="s">
        <v>963</v>
      </c>
      <c r="C20" s="350">
        <f>IF(AND(C8+C9&gt;0,C4+C6&lt;=1,C10=1),(C8+C9)*2,IF(AND(C8+C9&gt;0,C4+C6&lt;=1.5,C10=1),(C8+C9)*3,IF(AND(C8+C9&gt;0,C4+C6&lt;=2,C10=1),(C8+C9)*4,IF(AND(C8+C9&gt;0,C4+C6&lt;=2.5,C10=1),(C8+C9)*5,IF(AND(C8+C9&gt;0,C4+C6&lt;=3,C10=1),(C8+C9)*6,IF(AND(C8+C9&gt;0,C4+C6&lt;=3.5,C10=1),(C8+C9)*7,IF(AND(C8+C9&gt;0,C4+C6&lt;=4,C10=1),(C8+C9)*8,IF(AND(C8+C9&gt;0,C4+C6&lt;=4.5,C10=1),(C8+C9)*9,IF(AND(C8+C9&gt;0,C4+C6&lt;=5,C10=1),(C8+C9)*9,IF(AND(C8+C9&gt;0,C4+C6&lt;=5.5,C10=1),(C8+C9)*10,IF(AND(C8+C9&gt;0,C4+C6&lt;=6,C10=1),(C8+C9)*11,0)))))))))))</f>
        <v>11</v>
      </c>
      <c r="D20" s="554"/>
      <c r="E20" s="1011">
        <f t="shared" si="0"/>
        <v>0</v>
      </c>
      <c r="F20" s="982"/>
    </row>
    <row r="21" spans="2:6">
      <c r="B21" s="349" t="s">
        <v>972</v>
      </c>
      <c r="C21" s="350">
        <f>C8+C9</f>
        <v>1</v>
      </c>
      <c r="D21" s="554"/>
      <c r="E21" s="1011">
        <f t="shared" si="0"/>
        <v>0</v>
      </c>
      <c r="F21" s="982"/>
    </row>
    <row r="22" spans="2:6">
      <c r="B22" s="349" t="s">
        <v>973</v>
      </c>
      <c r="C22" s="350">
        <f>C9*2</f>
        <v>0</v>
      </c>
      <c r="D22" s="554"/>
      <c r="E22" s="1011">
        <f t="shared" si="0"/>
        <v>0</v>
      </c>
      <c r="F22" s="982"/>
    </row>
    <row r="23" spans="2:6">
      <c r="B23" s="349" t="s">
        <v>974</v>
      </c>
      <c r="C23" s="350">
        <f>C8+C9</f>
        <v>1</v>
      </c>
      <c r="D23" s="554"/>
      <c r="E23" s="1011">
        <f t="shared" si="0"/>
        <v>0</v>
      </c>
      <c r="F23" s="982"/>
    </row>
    <row r="24" spans="2:6">
      <c r="B24" s="349" t="s">
        <v>965</v>
      </c>
      <c r="C24" s="350">
        <f>IF(C4&gt;0,(C8+C9)*2,0)</f>
        <v>2</v>
      </c>
      <c r="D24" s="554"/>
      <c r="E24" s="1011">
        <f t="shared" si="0"/>
        <v>0</v>
      </c>
      <c r="F24" s="982"/>
    </row>
    <row r="25" spans="2:6">
      <c r="B25" s="344" t="s">
        <v>966</v>
      </c>
      <c r="C25" s="353">
        <f>(C8+C9)</f>
        <v>1</v>
      </c>
      <c r="D25" s="554"/>
      <c r="E25" s="1011">
        <f t="shared" si="0"/>
        <v>0</v>
      </c>
      <c r="F25" s="982"/>
    </row>
    <row r="26" spans="2:6">
      <c r="B26" s="349" t="s">
        <v>119</v>
      </c>
      <c r="C26" s="345">
        <f>IF(C9&gt;0,(C4+C6)*C9,0)</f>
        <v>0</v>
      </c>
      <c r="D26" s="554"/>
      <c r="E26" s="1011">
        <f t="shared" si="0"/>
        <v>0</v>
      </c>
      <c r="F26" s="982"/>
    </row>
    <row r="27" spans="2:6">
      <c r="B27" s="349" t="s">
        <v>945</v>
      </c>
      <c r="C27" s="345">
        <f>(C4+C6)*(C8+C9)</f>
        <v>6</v>
      </c>
      <c r="D27" s="554"/>
      <c r="E27" s="1011">
        <f t="shared" si="0"/>
        <v>0</v>
      </c>
      <c r="F27" s="982"/>
    </row>
    <row r="28" spans="2:6">
      <c r="B28" s="344" t="s">
        <v>946</v>
      </c>
      <c r="C28" s="345">
        <f>(C4+C6)*C8</f>
        <v>6</v>
      </c>
      <c r="D28" s="554"/>
      <c r="E28" s="1011">
        <f t="shared" si="0"/>
        <v>0</v>
      </c>
      <c r="F28" s="982"/>
    </row>
    <row r="29" spans="2:6">
      <c r="B29" s="344" t="s">
        <v>947</v>
      </c>
      <c r="C29" s="350">
        <f>(C4+C6)*C8</f>
        <v>6</v>
      </c>
      <c r="D29" s="554"/>
      <c r="E29" s="1011">
        <f t="shared" si="0"/>
        <v>0</v>
      </c>
      <c r="F29" s="982"/>
    </row>
    <row r="30" spans="2:6">
      <c r="B30" s="344" t="s">
        <v>948</v>
      </c>
      <c r="C30" s="345">
        <f>(C4+C6)*C9</f>
        <v>0</v>
      </c>
      <c r="D30" s="554"/>
      <c r="E30" s="1011">
        <f t="shared" si="0"/>
        <v>0</v>
      </c>
      <c r="F30" s="982"/>
    </row>
    <row r="31" spans="2:6">
      <c r="B31" s="349" t="s">
        <v>953</v>
      </c>
      <c r="C31" s="350">
        <f>C9</f>
        <v>0</v>
      </c>
      <c r="D31" s="554"/>
      <c r="E31" s="1011"/>
      <c r="F31" s="982"/>
    </row>
    <row r="32" spans="2:6">
      <c r="B32" s="349" t="s">
        <v>954</v>
      </c>
      <c r="C32" s="350">
        <f>C8</f>
        <v>1</v>
      </c>
      <c r="D32" s="554"/>
      <c r="E32" s="1011"/>
      <c r="F32" s="982"/>
    </row>
    <row r="33" spans="2:6">
      <c r="B33" s="349" t="s">
        <v>956</v>
      </c>
      <c r="C33" s="350">
        <f>C8+C9</f>
        <v>1</v>
      </c>
      <c r="D33" s="554"/>
      <c r="E33" s="1011"/>
      <c r="F33" s="982"/>
    </row>
    <row r="34" spans="2:6">
      <c r="B34" s="349" t="s">
        <v>955</v>
      </c>
      <c r="C34" s="350">
        <f>C5</f>
        <v>0</v>
      </c>
      <c r="D34" s="554"/>
      <c r="E34" s="1011"/>
      <c r="F34" s="982"/>
    </row>
    <row r="35" spans="2:6" ht="12.75">
      <c r="B35" s="997" t="s">
        <v>145</v>
      </c>
      <c r="C35" s="350">
        <f>C12</f>
        <v>0</v>
      </c>
      <c r="D35" s="554"/>
      <c r="E35" s="1011"/>
      <c r="F35" s="982"/>
    </row>
    <row r="36" spans="2:6">
      <c r="B36" s="344" t="s">
        <v>967</v>
      </c>
      <c r="C36" s="345">
        <f>(C8+C9)*C4</f>
        <v>2</v>
      </c>
      <c r="D36" s="554"/>
      <c r="E36" s="1011">
        <f t="shared" si="0"/>
        <v>0</v>
      </c>
      <c r="F36" s="982"/>
    </row>
    <row r="37" spans="2:6">
      <c r="B37" s="344" t="s">
        <v>968</v>
      </c>
      <c r="C37" s="345">
        <f>(C8+C9)*C4</f>
        <v>2</v>
      </c>
      <c r="D37" s="554"/>
      <c r="E37" s="1011">
        <f t="shared" si="0"/>
        <v>0</v>
      </c>
      <c r="F37" s="982"/>
    </row>
    <row r="38" spans="2:6">
      <c r="B38" s="344" t="s">
        <v>975</v>
      </c>
      <c r="C38" s="345">
        <f>C8*2</f>
        <v>2</v>
      </c>
      <c r="D38" s="554"/>
      <c r="E38" s="1011">
        <f t="shared" si="0"/>
        <v>0</v>
      </c>
      <c r="F38" s="982"/>
    </row>
    <row r="39" spans="2:6">
      <c r="B39" s="349" t="s">
        <v>893</v>
      </c>
      <c r="C39" s="350">
        <f>(C8+C9)*2</f>
        <v>2</v>
      </c>
      <c r="D39" s="554"/>
      <c r="E39" s="1011">
        <f t="shared" si="0"/>
        <v>0</v>
      </c>
      <c r="F39" s="982"/>
    </row>
    <row r="40" spans="2:6">
      <c r="B40" s="349" t="s">
        <v>789</v>
      </c>
      <c r="C40" s="350">
        <f>(C8+C9)*8</f>
        <v>8</v>
      </c>
      <c r="D40" s="554"/>
      <c r="E40" s="1011">
        <f t="shared" si="0"/>
        <v>0</v>
      </c>
      <c r="F40" s="982"/>
    </row>
    <row r="41" spans="2:6">
      <c r="B41" s="349" t="s">
        <v>401</v>
      </c>
      <c r="C41" s="350">
        <f>(C8+C9)*(C4+C6)</f>
        <v>6</v>
      </c>
      <c r="D41" s="554"/>
      <c r="E41" s="1011">
        <f t="shared" si="0"/>
        <v>0</v>
      </c>
      <c r="F41" s="982"/>
    </row>
    <row r="42" spans="2:6">
      <c r="B42" s="349" t="s">
        <v>402</v>
      </c>
      <c r="C42" s="350">
        <f>C14*(C4+C6)*(C8+C9)</f>
        <v>0</v>
      </c>
      <c r="D42" s="554"/>
      <c r="E42" s="1011">
        <f t="shared" si="0"/>
        <v>0</v>
      </c>
      <c r="F42" s="982"/>
    </row>
    <row r="43" spans="2:6" ht="12" thickBot="1">
      <c r="B43" s="986" t="s">
        <v>952</v>
      </c>
      <c r="C43" s="405">
        <f>C5</f>
        <v>0</v>
      </c>
      <c r="D43" s="593"/>
      <c r="E43" s="1012">
        <f t="shared" si="0"/>
        <v>0</v>
      </c>
      <c r="F43" s="982"/>
    </row>
    <row r="44" spans="2:6" ht="13.5" thickBot="1">
      <c r="B44" s="319"/>
      <c r="C44" s="319"/>
      <c r="D44" s="387" t="s">
        <v>9</v>
      </c>
      <c r="E44" s="988">
        <f>SUMIF(E17:E43,"&gt;0",E17:E43)</f>
        <v>0</v>
      </c>
      <c r="F44" s="982"/>
    </row>
    <row r="45" spans="2:6">
      <c r="F45" s="982"/>
    </row>
    <row r="46" spans="2:6">
      <c r="F46" s="982"/>
    </row>
    <row r="47" spans="2:6" ht="15.75" thickBot="1">
      <c r="B47" s="993" t="s">
        <v>957</v>
      </c>
      <c r="F47" s="982"/>
    </row>
    <row r="48" spans="2:6" ht="12.75">
      <c r="B48" s="574" t="s">
        <v>489</v>
      </c>
      <c r="C48" s="1004">
        <f>IF(C11=1,C8+C9,0)</f>
        <v>0</v>
      </c>
      <c r="D48" s="989"/>
      <c r="E48" s="577">
        <f t="shared" ref="E48:E53" si="1">C48*D48</f>
        <v>0</v>
      </c>
      <c r="F48" s="982"/>
    </row>
    <row r="49" spans="2:6" ht="12.75">
      <c r="B49" s="421" t="s">
        <v>486</v>
      </c>
      <c r="C49" s="1005">
        <f>IF(C11=6,C8+C9,0)</f>
        <v>0</v>
      </c>
      <c r="D49" s="614"/>
      <c r="E49" s="326">
        <f t="shared" si="1"/>
        <v>0</v>
      </c>
      <c r="F49" s="982"/>
    </row>
    <row r="50" spans="2:6" ht="12.75">
      <c r="B50" s="421" t="s">
        <v>591</v>
      </c>
      <c r="C50" s="1005">
        <f>IF(C11=5,C8+C9,0)</f>
        <v>0</v>
      </c>
      <c r="D50" s="614"/>
      <c r="E50" s="326">
        <f t="shared" si="1"/>
        <v>0</v>
      </c>
      <c r="F50" s="982"/>
    </row>
    <row r="51" spans="2:6" ht="12.75">
      <c r="B51" s="421" t="s">
        <v>487</v>
      </c>
      <c r="C51" s="1005">
        <f>IF(C11=2,C8+C9,0)</f>
        <v>0</v>
      </c>
      <c r="D51" s="614"/>
      <c r="E51" s="326">
        <f t="shared" si="1"/>
        <v>0</v>
      </c>
    </row>
    <row r="52" spans="2:6" ht="12.75">
      <c r="B52" s="421" t="s">
        <v>488</v>
      </c>
      <c r="C52" s="1005">
        <f>IF(C11=3,C8+C9,0)</f>
        <v>0</v>
      </c>
      <c r="D52" s="614"/>
      <c r="E52" s="326">
        <f t="shared" si="1"/>
        <v>0</v>
      </c>
    </row>
    <row r="53" spans="2:6" ht="13.5" thickBot="1">
      <c r="B53" s="990" t="s">
        <v>494</v>
      </c>
      <c r="C53" s="1006">
        <f>IF(C11=4,C8+C9,0)</f>
        <v>1</v>
      </c>
      <c r="D53" s="991"/>
      <c r="E53" s="336">
        <f t="shared" si="1"/>
        <v>0</v>
      </c>
    </row>
    <row r="54" spans="2:6" ht="13.5" thickBot="1">
      <c r="D54" s="992" t="s">
        <v>9</v>
      </c>
      <c r="E54" s="998">
        <f>SUMIF(E48:E53,"&gt;0",E48:E53)</f>
        <v>0</v>
      </c>
    </row>
  </sheetData>
  <sheetProtection algorithmName="SHA-512" hashValue="DP08oWgfGdnxCXwc4DbaYPb2cA/tiUAFWEnNWx3YvAdsOD+2ixIRNVEytJ2k7fYoTFtNjTHWhA+NHNqdrynJyg==" saltValue="RYqmr2Z5o7epkzHifBU/Hw==" spinCount="100000" sheet="1" objects="1" scenarios="1"/>
  <mergeCells count="7">
    <mergeCell ref="B3:E3"/>
    <mergeCell ref="D4:F7"/>
    <mergeCell ref="D8:F9"/>
    <mergeCell ref="F13:F14"/>
    <mergeCell ref="B15:E15"/>
    <mergeCell ref="D11:F11"/>
    <mergeCell ref="D12:E12"/>
  </mergeCells>
  <conditionalFormatting sqref="D43:E43 C17:E30 C36:E42 D31:E35">
    <cfRule type="cellIs" dxfId="135" priority="24" operator="greaterThan">
      <formula>0</formula>
    </cfRule>
  </conditionalFormatting>
  <conditionalFormatting sqref="E44">
    <cfRule type="cellIs" dxfId="134" priority="25" operator="greaterThan">
      <formula>0</formula>
    </cfRule>
  </conditionalFormatting>
  <conditionalFormatting sqref="C43">
    <cfRule type="cellIs" dxfId="133" priority="23" operator="greaterThan">
      <formula>0</formula>
    </cfRule>
  </conditionalFormatting>
  <conditionalFormatting sqref="C31:C35">
    <cfRule type="cellIs" dxfId="132" priority="22" operator="greaterThan">
      <formula>0</formula>
    </cfRule>
  </conditionalFormatting>
  <conditionalFormatting sqref="D48:D53">
    <cfRule type="cellIs" dxfId="131" priority="13" operator="greaterThan">
      <formula>0</formula>
    </cfRule>
    <cfRule type="cellIs" dxfId="130" priority="14" operator="greaterThan">
      <formula>0</formula>
    </cfRule>
  </conditionalFormatting>
  <conditionalFormatting sqref="C48:C49 C51:C53">
    <cfRule type="cellIs" dxfId="129" priority="19" operator="equal">
      <formula>"ДА"</formula>
    </cfRule>
    <cfRule type="cellIs" dxfId="128" priority="20" operator="equal">
      <formula>"НЕТ"</formula>
    </cfRule>
  </conditionalFormatting>
  <conditionalFormatting sqref="C48:C49 C51:C53">
    <cfRule type="colorScale" priority="2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0">
    <cfRule type="cellIs" dxfId="127" priority="16" operator="equal">
      <formula>"ДА"</formula>
    </cfRule>
    <cfRule type="cellIs" dxfId="126" priority="17" operator="equal">
      <formula>"НЕТ"</formula>
    </cfRule>
  </conditionalFormatting>
  <conditionalFormatting sqref="C50">
    <cfRule type="colorScale" priority="1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48:E53">
    <cfRule type="cellIs" dxfId="125" priority="15" operator="greaterThan">
      <formula>0</formula>
    </cfRule>
  </conditionalFormatting>
  <conditionalFormatting sqref="C48:C53">
    <cfRule type="cellIs" dxfId="124" priority="11" operator="equal">
      <formula>"НЕТ"</formula>
    </cfRule>
    <cfRule type="cellIs" dxfId="123" priority="12" operator="equal">
      <formula>"ДА"</formula>
    </cfRule>
  </conditionalFormatting>
  <conditionalFormatting sqref="C48:C53">
    <cfRule type="cellIs" dxfId="122" priority="10" operator="equal">
      <formula>"ДА"</formula>
    </cfRule>
  </conditionalFormatting>
  <conditionalFormatting sqref="C50">
    <cfRule type="cellIs" dxfId="121" priority="7" operator="equal">
      <formula>"ДА"</formula>
    </cfRule>
    <cfRule type="cellIs" dxfId="120" priority="8" operator="equal">
      <formula>"НЕТ"</formula>
    </cfRule>
  </conditionalFormatting>
  <conditionalFormatting sqref="C50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48:E53">
    <cfRule type="cellIs" dxfId="119" priority="1" operator="greaterThan">
      <formula>0</formula>
    </cfRule>
    <cfRule type="cellIs" dxfId="118" priority="2" operator="greaterThan">
      <formula>0</formula>
    </cfRule>
    <cfRule type="cellIs" dxfId="117" priority="6" operator="greaterThan">
      <formula>0</formula>
    </cfRule>
  </conditionalFormatting>
  <conditionalFormatting sqref="C50">
    <cfRule type="cellIs" dxfId="116" priority="3" operator="equal">
      <formula>"ДА"</formula>
    </cfRule>
    <cfRule type="cellIs" dxfId="115" priority="4" operator="equal">
      <formula>"НЕТ"</formula>
    </cfRule>
  </conditionalFormatting>
  <conditionalFormatting sqref="C50">
    <cfRule type="colorScale" priority="5">
      <colorScale>
        <cfvo type="num" val="&quot;НЕТ&quot;"/>
        <cfvo type="num" val="&quot;ДА&quot;"/>
        <color rgb="FFFF0000"/>
        <color rgb="FF00B050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36"/>
  <sheetViews>
    <sheetView zoomScale="130" zoomScaleNormal="130" workbookViewId="0">
      <selection activeCell="I19" sqref="I19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1057" t="s">
        <v>576</v>
      </c>
      <c r="B1" s="1058"/>
      <c r="C1" s="1058"/>
      <c r="D1" s="1058"/>
      <c r="E1" s="288"/>
      <c r="F1" s="11"/>
    </row>
    <row r="2" spans="1:13" ht="14.25">
      <c r="A2" s="8" t="s">
        <v>3</v>
      </c>
      <c r="B2" s="12"/>
      <c r="C2" s="13"/>
      <c r="D2" s="13"/>
      <c r="E2" s="13"/>
      <c r="F2" s="14"/>
      <c r="H2" s="1059" t="s">
        <v>122</v>
      </c>
      <c r="I2" s="1060"/>
      <c r="J2" s="1060"/>
      <c r="K2" s="1060"/>
      <c r="L2" s="1060"/>
      <c r="M2" s="1061"/>
    </row>
    <row r="3" spans="1:13" ht="12" thickBot="1">
      <c r="A3" s="9" t="s">
        <v>10</v>
      </c>
      <c r="B3" s="871">
        <v>1.4</v>
      </c>
      <c r="C3" s="13"/>
      <c r="D3" s="13"/>
      <c r="E3" s="13"/>
      <c r="F3" s="14"/>
      <c r="H3" s="1062"/>
      <c r="I3" s="1063"/>
      <c r="J3" s="1063"/>
      <c r="K3" s="1063"/>
      <c r="L3" s="1063"/>
      <c r="M3" s="1064"/>
    </row>
    <row r="4" spans="1:13">
      <c r="A4" s="9" t="s">
        <v>1</v>
      </c>
      <c r="B4" s="871">
        <v>1</v>
      </c>
      <c r="C4" s="13"/>
      <c r="D4" s="13"/>
      <c r="E4" s="13"/>
      <c r="F4" s="14"/>
    </row>
    <row r="5" spans="1:13">
      <c r="A5" s="9" t="s">
        <v>2</v>
      </c>
      <c r="B5" s="871">
        <v>1</v>
      </c>
      <c r="C5" s="13"/>
      <c r="D5" s="13"/>
      <c r="E5" s="13"/>
      <c r="F5" s="14"/>
    </row>
    <row r="6" spans="1:13">
      <c r="A6" s="9" t="s">
        <v>130</v>
      </c>
      <c r="B6" s="871">
        <v>10</v>
      </c>
      <c r="C6" s="13"/>
      <c r="D6" s="13"/>
      <c r="E6" s="13"/>
      <c r="F6" s="14"/>
    </row>
    <row r="7" spans="1:13">
      <c r="A7" s="9" t="s">
        <v>568</v>
      </c>
      <c r="B7" s="871">
        <v>2</v>
      </c>
      <c r="C7" s="13"/>
      <c r="D7" s="13"/>
      <c r="E7" s="13"/>
      <c r="F7" s="14"/>
    </row>
    <row r="8" spans="1:13">
      <c r="A8" s="9" t="s">
        <v>571</v>
      </c>
      <c r="B8" s="871">
        <v>2</v>
      </c>
      <c r="C8" s="13"/>
      <c r="D8" s="13"/>
      <c r="E8" s="13"/>
      <c r="F8" s="14"/>
    </row>
    <row r="9" spans="1:13" ht="12" thickBot="1">
      <c r="A9" s="10" t="s">
        <v>572</v>
      </c>
      <c r="B9" s="872">
        <v>50</v>
      </c>
      <c r="C9" s="13"/>
      <c r="D9" s="13"/>
      <c r="E9" s="13"/>
      <c r="F9" s="14"/>
    </row>
    <row r="10" spans="1:13">
      <c r="A10" s="16"/>
      <c r="B10" s="17"/>
      <c r="C10" s="13"/>
      <c r="D10" s="13"/>
      <c r="E10" s="13"/>
      <c r="F10" s="14"/>
    </row>
    <row r="11" spans="1:13" ht="12" thickBot="1">
      <c r="A11" s="18" t="s">
        <v>11</v>
      </c>
      <c r="B11" s="19"/>
      <c r="C11" s="19"/>
      <c r="D11" s="19"/>
      <c r="E11" s="19"/>
      <c r="F11" s="14"/>
    </row>
    <row r="12" spans="1:13">
      <c r="A12" s="20"/>
      <c r="B12" s="21" t="s">
        <v>12</v>
      </c>
      <c r="C12" s="22" t="s">
        <v>4</v>
      </c>
      <c r="D12" s="22" t="s">
        <v>13</v>
      </c>
      <c r="E12" s="12"/>
      <c r="F12" s="14"/>
    </row>
    <row r="13" spans="1:13" ht="12.75" customHeight="1">
      <c r="A13" s="23" t="s">
        <v>104</v>
      </c>
      <c r="B13" s="24"/>
      <c r="C13" s="743">
        <v>9</v>
      </c>
      <c r="D13" s="123">
        <f>4*B5</f>
        <v>4</v>
      </c>
      <c r="E13" s="26">
        <f t="shared" ref="E13:E24" si="0">D13*C13</f>
        <v>36</v>
      </c>
      <c r="F13" s="14"/>
    </row>
    <row r="14" spans="1:13">
      <c r="A14" s="23" t="s">
        <v>230</v>
      </c>
      <c r="B14" s="24"/>
      <c r="C14" s="743"/>
      <c r="D14" s="123">
        <f>B5</f>
        <v>1</v>
      </c>
      <c r="E14" s="26">
        <f t="shared" si="0"/>
        <v>0</v>
      </c>
      <c r="F14" s="14"/>
    </row>
    <row r="15" spans="1:13">
      <c r="A15" s="23" t="s">
        <v>565</v>
      </c>
      <c r="B15" s="24"/>
      <c r="C15" s="743"/>
      <c r="D15" s="123">
        <f>(B3-0.014)*B5</f>
        <v>1.3859999999999999</v>
      </c>
      <c r="E15" s="26">
        <f t="shared" si="0"/>
        <v>0</v>
      </c>
      <c r="F15" s="14"/>
    </row>
    <row r="16" spans="1:13">
      <c r="A16" s="23" t="s">
        <v>14</v>
      </c>
      <c r="B16" s="24"/>
      <c r="C16" s="743"/>
      <c r="D16" s="123">
        <f>(B3-0.01)*B5</f>
        <v>1.39</v>
      </c>
      <c r="E16" s="26">
        <f t="shared" si="0"/>
        <v>0</v>
      </c>
      <c r="F16" s="14"/>
    </row>
    <row r="17" spans="1:6">
      <c r="A17" s="23" t="s">
        <v>574</v>
      </c>
      <c r="B17" s="24"/>
      <c r="C17" s="743"/>
      <c r="D17" s="123">
        <f>B5</f>
        <v>1</v>
      </c>
      <c r="E17" s="26"/>
      <c r="F17" s="14"/>
    </row>
    <row r="18" spans="1:6">
      <c r="A18" s="23" t="s">
        <v>575</v>
      </c>
      <c r="B18" s="24"/>
      <c r="C18" s="743"/>
      <c r="D18" s="123">
        <f>D16</f>
        <v>1.39</v>
      </c>
      <c r="E18" s="26"/>
      <c r="F18" s="14"/>
    </row>
    <row r="19" spans="1:6">
      <c r="A19" s="23" t="s">
        <v>115</v>
      </c>
      <c r="B19" s="28"/>
      <c r="C19" s="745"/>
      <c r="D19" s="123">
        <f>B5*2</f>
        <v>2</v>
      </c>
      <c r="E19" s="26">
        <f t="shared" si="0"/>
        <v>0</v>
      </c>
      <c r="F19" s="14"/>
    </row>
    <row r="20" spans="1:6">
      <c r="A20" s="105" t="s">
        <v>103</v>
      </c>
      <c r="B20" s="28"/>
      <c r="C20" s="745"/>
      <c r="D20" s="123">
        <f>D15</f>
        <v>1.3859999999999999</v>
      </c>
      <c r="E20" s="26"/>
      <c r="F20" s="14"/>
    </row>
    <row r="21" spans="1:6">
      <c r="A21" s="23" t="s">
        <v>27</v>
      </c>
      <c r="B21" s="24"/>
      <c r="C21" s="743"/>
      <c r="D21" s="123">
        <f>(B4-0.07)*2*B5</f>
        <v>1.8599999999999999</v>
      </c>
      <c r="E21" s="26">
        <f t="shared" si="0"/>
        <v>0</v>
      </c>
      <c r="F21" s="14"/>
    </row>
    <row r="22" spans="1:6">
      <c r="A22" s="23" t="s">
        <v>18</v>
      </c>
      <c r="B22" s="24"/>
      <c r="C22" s="743"/>
      <c r="D22" s="123">
        <f>(B4-0.07)*B5*2</f>
        <v>1.8599999999999999</v>
      </c>
      <c r="E22" s="26">
        <f t="shared" si="0"/>
        <v>0</v>
      </c>
      <c r="F22" s="14"/>
    </row>
    <row r="23" spans="1:6">
      <c r="A23" s="23" t="s">
        <v>19</v>
      </c>
      <c r="B23" s="24"/>
      <c r="C23" s="748"/>
      <c r="D23" s="123">
        <f>B3*B5</f>
        <v>1.4</v>
      </c>
      <c r="E23" s="26">
        <f t="shared" si="0"/>
        <v>0</v>
      </c>
      <c r="F23" s="14"/>
    </row>
    <row r="24" spans="1:6">
      <c r="A24" s="23" t="s">
        <v>20</v>
      </c>
      <c r="B24" s="24"/>
      <c r="C24" s="748"/>
      <c r="D24" s="123">
        <f>B3*B5</f>
        <v>1.4</v>
      </c>
      <c r="E24" s="26">
        <f t="shared" si="0"/>
        <v>0</v>
      </c>
      <c r="F24" s="14"/>
    </row>
    <row r="25" spans="1:6">
      <c r="A25" s="23" t="s">
        <v>566</v>
      </c>
      <c r="B25" s="24"/>
      <c r="C25" s="743"/>
      <c r="D25" s="123">
        <f>B5</f>
        <v>1</v>
      </c>
      <c r="E25" s="26">
        <f>C25*D25</f>
        <v>0</v>
      </c>
      <c r="F25" s="14"/>
    </row>
    <row r="26" spans="1:6">
      <c r="A26" s="23" t="s">
        <v>570</v>
      </c>
      <c r="B26" s="24"/>
      <c r="C26" s="748"/>
      <c r="D26" s="123">
        <f>B8</f>
        <v>2</v>
      </c>
      <c r="E26" s="26">
        <f>D26*C26</f>
        <v>0</v>
      </c>
      <c r="F26" s="14"/>
    </row>
    <row r="27" spans="1:6">
      <c r="A27" s="23" t="s">
        <v>569</v>
      </c>
      <c r="B27" s="24"/>
      <c r="C27" s="748"/>
      <c r="D27" s="123">
        <f>B6</f>
        <v>10</v>
      </c>
      <c r="E27" s="26">
        <f>D27*C27</f>
        <v>0</v>
      </c>
      <c r="F27" s="14"/>
    </row>
    <row r="28" spans="1:6">
      <c r="A28" s="24" t="s">
        <v>567</v>
      </c>
      <c r="B28" s="289"/>
      <c r="C28" s="842"/>
      <c r="D28" s="289">
        <f>B7</f>
        <v>2</v>
      </c>
      <c r="E28" s="26">
        <f>D28*C28</f>
        <v>0</v>
      </c>
      <c r="F28" s="14"/>
    </row>
    <row r="29" spans="1:6">
      <c r="A29" s="16"/>
      <c r="B29" s="13"/>
      <c r="C29" s="868"/>
      <c r="D29" s="13"/>
      <c r="E29" s="35">
        <f>SUM(E13:E27)</f>
        <v>36</v>
      </c>
      <c r="F29" s="14"/>
    </row>
    <row r="30" spans="1:6">
      <c r="A30" s="16"/>
      <c r="B30" s="13"/>
      <c r="C30" s="868"/>
      <c r="D30" s="13"/>
      <c r="E30" s="13"/>
      <c r="F30" s="14"/>
    </row>
    <row r="31" spans="1:6" ht="12" thickBot="1">
      <c r="A31" s="18" t="s">
        <v>22</v>
      </c>
      <c r="B31" s="19"/>
      <c r="C31" s="869"/>
      <c r="D31" s="19"/>
      <c r="E31" s="13"/>
      <c r="F31" s="14"/>
    </row>
    <row r="32" spans="1:6">
      <c r="A32" s="36" t="s">
        <v>35</v>
      </c>
      <c r="B32" s="21"/>
      <c r="C32" s="870"/>
      <c r="D32" s="21"/>
      <c r="E32" s="12"/>
      <c r="F32" s="14"/>
    </row>
    <row r="33" spans="1:6" ht="12" thickBot="1">
      <c r="A33" s="30" t="s">
        <v>25</v>
      </c>
      <c r="B33" s="31"/>
      <c r="C33" s="755"/>
      <c r="D33" s="33">
        <f>(B4-0.07)*2*B5</f>
        <v>1.8599999999999999</v>
      </c>
      <c r="E33" s="34">
        <f>D33*C33</f>
        <v>0</v>
      </c>
      <c r="F33" s="14"/>
    </row>
    <row r="34" spans="1:6">
      <c r="A34" s="1065" t="s">
        <v>26</v>
      </c>
      <c r="B34" s="1066"/>
      <c r="C34" s="1066"/>
      <c r="D34" s="1067"/>
      <c r="E34" s="37">
        <f>SUM(E33:E33)+E29</f>
        <v>36</v>
      </c>
      <c r="F34" s="14"/>
    </row>
    <row r="35" spans="1:6">
      <c r="A35" s="40"/>
      <c r="B35" s="13"/>
      <c r="C35" s="13"/>
      <c r="D35" s="13"/>
      <c r="E35" s="35"/>
      <c r="F35" s="14"/>
    </row>
    <row r="36" spans="1:6" ht="15.75" thickBot="1">
      <c r="A36" s="41" t="s">
        <v>28</v>
      </c>
      <c r="B36" s="38"/>
      <c r="C36" s="38"/>
      <c r="D36" s="38"/>
      <c r="E36" s="38"/>
      <c r="F36" s="39"/>
    </row>
  </sheetData>
  <sheetProtection algorithmName="SHA-512" hashValue="z/z8eYLZH4vivF5F7+6cyyhE9GnYFuvmaTymaWJ89Ebz0GFC/M2gdkgQSUqe5NhBxOKjnV9w7e5jv8tKOKCeAg==" saltValue="jGxkvn6asdtQhkumWjLGBA==" spinCount="100000" sheet="1" objects="1" scenarios="1"/>
  <mergeCells count="3">
    <mergeCell ref="A1:D1"/>
    <mergeCell ref="H2:M3"/>
    <mergeCell ref="A34:D34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6"/>
  <sheetViews>
    <sheetView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H32" sqref="H32"/>
    </sheetView>
  </sheetViews>
  <sheetFormatPr defaultRowHeight="11.25"/>
  <cols>
    <col min="2" max="2" width="51.33203125" customWidth="1"/>
    <col min="3" max="3" width="13.33203125" customWidth="1"/>
    <col min="4" max="4" width="13.5" customWidth="1"/>
    <col min="5" max="5" width="13" customWidth="1"/>
    <col min="6" max="6" width="29" customWidth="1"/>
  </cols>
  <sheetData>
    <row r="3" spans="2:6" ht="27" thickBot="1">
      <c r="B3" s="1168"/>
      <c r="C3" s="1169"/>
      <c r="D3" s="1169"/>
      <c r="E3" s="1169"/>
      <c r="F3" s="951"/>
    </row>
    <row r="4" spans="2:6">
      <c r="B4" s="967" t="s">
        <v>976</v>
      </c>
      <c r="C4" s="968">
        <v>5</v>
      </c>
      <c r="D4" s="1321" t="s">
        <v>595</v>
      </c>
      <c r="E4" s="1321"/>
      <c r="F4" s="1322"/>
    </row>
    <row r="5" spans="2:6" ht="12" thickBot="1">
      <c r="B5" s="969" t="s">
        <v>1</v>
      </c>
      <c r="C5" s="970">
        <v>0</v>
      </c>
      <c r="D5" s="1323"/>
      <c r="E5" s="1323"/>
      <c r="F5" s="1324"/>
    </row>
    <row r="6" spans="2:6" ht="12" thickBot="1">
      <c r="B6" s="1014" t="s">
        <v>977</v>
      </c>
      <c r="C6" s="971">
        <v>2</v>
      </c>
      <c r="D6" s="1325" t="s">
        <v>978</v>
      </c>
      <c r="E6" s="1325"/>
      <c r="F6" s="1326"/>
    </row>
    <row r="7" spans="2:6" ht="12" thickBot="1">
      <c r="B7" s="1014" t="s">
        <v>510</v>
      </c>
      <c r="C7" s="972">
        <v>0</v>
      </c>
      <c r="D7" s="1327"/>
      <c r="E7" s="1327"/>
      <c r="F7" s="1328"/>
    </row>
    <row r="8" spans="2:6" ht="12" thickBot="1">
      <c r="B8" s="1015" t="s">
        <v>979</v>
      </c>
      <c r="C8" s="1016">
        <v>1</v>
      </c>
      <c r="D8" s="1339" t="s">
        <v>980</v>
      </c>
      <c r="E8" s="1340"/>
      <c r="F8" s="1341"/>
    </row>
    <row r="9" spans="2:6" ht="12" thickBot="1">
      <c r="B9" s="1007" t="s">
        <v>959</v>
      </c>
      <c r="C9" s="971">
        <v>1</v>
      </c>
      <c r="D9" s="513" t="s">
        <v>960</v>
      </c>
      <c r="E9" s="367" t="s">
        <v>961</v>
      </c>
      <c r="F9" s="1008"/>
    </row>
    <row r="10" spans="2:6" ht="23.25" customHeight="1">
      <c r="B10" s="820" t="s">
        <v>589</v>
      </c>
      <c r="C10" s="837">
        <v>4</v>
      </c>
      <c r="D10" s="1331" t="s">
        <v>958</v>
      </c>
      <c r="E10" s="1332"/>
      <c r="F10" s="1333"/>
    </row>
    <row r="11" spans="2:6" ht="10.5" customHeight="1" thickBot="1">
      <c r="B11" s="821" t="s">
        <v>277</v>
      </c>
      <c r="C11" s="836">
        <v>0</v>
      </c>
      <c r="D11" s="1165" t="s">
        <v>30</v>
      </c>
      <c r="E11" s="1166"/>
      <c r="F11" s="974"/>
    </row>
    <row r="12" spans="2:6">
      <c r="B12" s="967" t="s">
        <v>397</v>
      </c>
      <c r="C12" s="971">
        <v>0</v>
      </c>
      <c r="D12" s="513" t="s">
        <v>287</v>
      </c>
      <c r="E12" s="367" t="s">
        <v>255</v>
      </c>
      <c r="F12" s="1334" t="s">
        <v>597</v>
      </c>
    </row>
    <row r="13" spans="2:6" ht="12" thickBot="1">
      <c r="B13" s="969" t="s">
        <v>398</v>
      </c>
      <c r="C13" s="972">
        <v>0</v>
      </c>
      <c r="D13" s="973" t="s">
        <v>287</v>
      </c>
      <c r="E13" s="1009" t="s">
        <v>255</v>
      </c>
      <c r="F13" s="1335"/>
    </row>
    <row r="14" spans="2:6" ht="12" thickBot="1">
      <c r="B14" s="1263"/>
      <c r="C14" s="1263"/>
      <c r="D14" s="1263"/>
      <c r="E14" s="1263"/>
      <c r="F14" s="952"/>
    </row>
    <row r="15" spans="2:6" ht="13.5" thickBot="1">
      <c r="B15" s="975" t="s">
        <v>5</v>
      </c>
      <c r="C15" s="976" t="s">
        <v>0</v>
      </c>
      <c r="D15" s="977" t="s">
        <v>4</v>
      </c>
      <c r="E15" s="978" t="s">
        <v>8</v>
      </c>
      <c r="F15" s="979"/>
    </row>
    <row r="16" spans="2:6">
      <c r="B16" s="980" t="s">
        <v>399</v>
      </c>
      <c r="C16" s="1013">
        <f>C12*2*(C6+C7)*C8</f>
        <v>0</v>
      </c>
      <c r="D16" s="461"/>
      <c r="E16" s="1010">
        <f t="shared" ref="E16:E45" si="0">D16*C16</f>
        <v>0</v>
      </c>
      <c r="F16" s="982"/>
    </row>
    <row r="17" spans="2:6">
      <c r="B17" s="344" t="s">
        <v>400</v>
      </c>
      <c r="C17" s="345">
        <f>C13*(C6+C7)*C8</f>
        <v>0</v>
      </c>
      <c r="D17" s="554"/>
      <c r="E17" s="1011">
        <f t="shared" si="0"/>
        <v>0</v>
      </c>
      <c r="F17" s="982"/>
    </row>
    <row r="18" spans="2:6">
      <c r="B18" s="349" t="s">
        <v>962</v>
      </c>
      <c r="C18" s="984">
        <f>IF(AND(C6+C7&gt;0,C4&lt;=1),(C8)*2,IF(AND(C6+C7&gt;0,C4&lt;=1.5),(C8)*3,IF(AND(C6+C7&gt;0,C4&lt;=2),(C8)*4,IF(AND(C6+C7&gt;0,C4&lt;=2.5),(C8)*5,IF(AND(C6+C7&gt;0,C4&lt;=3),(C8)*6,IF(AND(C6+C7&gt;0,C4&lt;=3.5),(C8)*7,IF(AND(C6+C7&gt;0,C4&lt;=4),(C8)*8,IF(AND(C6+C7&gt;0,C4&lt;=4.5),(C8)*9,IF(AND(C6+C7&gt;0,C4&lt;=5),(C8)*9,IF(AND(C6+C7&gt;0,C4&lt;=5.5),(C8)*10,IF(AND(C6+C7&gt;0,C4&lt;=6),(C8)*11,0)))))))))))</f>
        <v>9</v>
      </c>
      <c r="D18" s="554"/>
      <c r="E18" s="1011">
        <f t="shared" si="0"/>
        <v>0</v>
      </c>
      <c r="F18" s="982"/>
    </row>
    <row r="19" spans="2:6">
      <c r="B19" s="349" t="s">
        <v>963</v>
      </c>
      <c r="C19" s="984">
        <f>IF(AND(C6+C7&gt;0,C4&lt;=1,C9=1),(C8)*2,IF(AND(C6+C7&gt;0,C4&lt;=1.5,C9=1),(C8)*3,IF(AND(C6+C7&gt;0,C4&lt;=2,C9=1),(C8)*4,IF(AND(C6+C7&gt;0,C4&lt;=2.5,C9=1),(C8)*5,IF(AND(C6+C7&gt;0,C4&lt;=3,C9=1),(C8)*6,IF(AND(C6+C7&gt;0,C4&lt;=3.5,C9=1),(C8)*7,IF(AND(C6+C7&gt;0,C4&lt;=4,C9=1),(C8)*8,IF(AND(C6+C7&gt;0,C4&lt;=4.5,C9=1),(C8)*9,IF(AND(C6+C7&gt;0,C4&lt;=5,C9=1),(C8)*9,IF(AND(C6+C7&gt;0,C4&lt;=5.5,C9=1),(C8)*10,IF(AND(C6+C7&gt;0,C4&lt;=6,C9=1),(C8)*11,0)))))))))))</f>
        <v>9</v>
      </c>
      <c r="D19" s="554"/>
      <c r="E19" s="1011">
        <f t="shared" si="0"/>
        <v>0</v>
      </c>
      <c r="F19" s="982"/>
    </row>
    <row r="20" spans="2:6">
      <c r="B20" s="349" t="s">
        <v>964</v>
      </c>
      <c r="C20" s="350">
        <f>IF(C4&gt;0,(C8),0)</f>
        <v>1</v>
      </c>
      <c r="D20" s="554"/>
      <c r="E20" s="1011">
        <f t="shared" si="0"/>
        <v>0</v>
      </c>
      <c r="F20" s="982"/>
    </row>
    <row r="21" spans="2:6">
      <c r="B21" s="349" t="s">
        <v>965</v>
      </c>
      <c r="C21" s="350">
        <f>IF(C4&gt;0,(C8),0)</f>
        <v>1</v>
      </c>
      <c r="D21" s="554"/>
      <c r="E21" s="1011">
        <f t="shared" si="0"/>
        <v>0</v>
      </c>
      <c r="F21" s="982"/>
    </row>
    <row r="22" spans="2:6">
      <c r="B22" s="349" t="s">
        <v>981</v>
      </c>
      <c r="C22" s="350">
        <f>(C6-1)*C8*2</f>
        <v>2</v>
      </c>
      <c r="D22" s="554"/>
      <c r="E22" s="1011">
        <f t="shared" si="0"/>
        <v>0</v>
      </c>
      <c r="F22" s="982"/>
    </row>
    <row r="23" spans="2:6">
      <c r="B23" s="349" t="s">
        <v>982</v>
      </c>
      <c r="C23" s="350">
        <f>(C7-1)*C8*2</f>
        <v>-2</v>
      </c>
      <c r="D23" s="554"/>
      <c r="E23" s="1011">
        <f t="shared" si="0"/>
        <v>0</v>
      </c>
      <c r="F23" s="982"/>
    </row>
    <row r="24" spans="2:6">
      <c r="B24" s="349" t="s">
        <v>972</v>
      </c>
      <c r="C24" s="350">
        <f>(C6+C7-1)*C8</f>
        <v>1</v>
      </c>
      <c r="D24" s="554"/>
      <c r="E24" s="1011">
        <f t="shared" si="0"/>
        <v>0</v>
      </c>
      <c r="F24" s="982"/>
    </row>
    <row r="25" spans="2:6">
      <c r="B25" s="349" t="s">
        <v>983</v>
      </c>
      <c r="C25" s="350">
        <f>(C6+C7-1)*C8</f>
        <v>1</v>
      </c>
      <c r="D25" s="554"/>
      <c r="E25" s="1011">
        <f t="shared" si="0"/>
        <v>0</v>
      </c>
      <c r="F25" s="982"/>
    </row>
    <row r="26" spans="2:6">
      <c r="B26" s="344" t="s">
        <v>966</v>
      </c>
      <c r="C26" s="353">
        <f>C8</f>
        <v>1</v>
      </c>
      <c r="D26" s="554"/>
      <c r="E26" s="1011">
        <f t="shared" si="0"/>
        <v>0</v>
      </c>
      <c r="F26" s="982"/>
    </row>
    <row r="27" spans="2:6">
      <c r="B27" s="349" t="s">
        <v>119</v>
      </c>
      <c r="C27" s="345">
        <f>IF(C7&gt;0,C4*C8,0)</f>
        <v>0</v>
      </c>
      <c r="D27" s="554"/>
      <c r="E27" s="1011">
        <f t="shared" si="0"/>
        <v>0</v>
      </c>
      <c r="F27" s="982"/>
    </row>
    <row r="28" spans="2:6">
      <c r="B28" s="349" t="s">
        <v>945</v>
      </c>
      <c r="C28" s="345">
        <f>C4*C8</f>
        <v>5</v>
      </c>
      <c r="D28" s="554"/>
      <c r="E28" s="1011">
        <f t="shared" si="0"/>
        <v>0</v>
      </c>
      <c r="F28" s="982"/>
    </row>
    <row r="29" spans="2:6">
      <c r="B29" s="344" t="s">
        <v>946</v>
      </c>
      <c r="C29" s="345">
        <f>IF(C6&gt;0,C4*C8,0)</f>
        <v>5</v>
      </c>
      <c r="D29" s="554"/>
      <c r="E29" s="1011">
        <f t="shared" si="0"/>
        <v>0</v>
      </c>
      <c r="F29" s="982"/>
    </row>
    <row r="30" spans="2:6">
      <c r="B30" s="344" t="s">
        <v>947</v>
      </c>
      <c r="C30" s="350">
        <f>IF(C6&gt;0,C4*C8,0)</f>
        <v>5</v>
      </c>
      <c r="D30" s="554"/>
      <c r="E30" s="1011">
        <f t="shared" si="0"/>
        <v>0</v>
      </c>
      <c r="F30" s="982"/>
    </row>
    <row r="31" spans="2:6">
      <c r="B31" s="344" t="s">
        <v>948</v>
      </c>
      <c r="C31" s="345">
        <f>IF(C7&gt;0,C4*C8,0)</f>
        <v>0</v>
      </c>
      <c r="D31" s="554"/>
      <c r="E31" s="1011">
        <f t="shared" si="0"/>
        <v>0</v>
      </c>
      <c r="F31" s="982"/>
    </row>
    <row r="32" spans="2:6">
      <c r="B32" s="349" t="s">
        <v>953</v>
      </c>
      <c r="C32" s="350">
        <f>IF(C7&gt;0,C8,0)</f>
        <v>0</v>
      </c>
      <c r="D32" s="554"/>
      <c r="E32" s="1011"/>
      <c r="F32" s="982"/>
    </row>
    <row r="33" spans="2:6">
      <c r="B33" s="349" t="s">
        <v>954</v>
      </c>
      <c r="C33" s="350">
        <f>IF(C6&gt;0,C8,0)</f>
        <v>1</v>
      </c>
      <c r="D33" s="554"/>
      <c r="E33" s="1011"/>
      <c r="F33" s="982"/>
    </row>
    <row r="34" spans="2:6">
      <c r="B34" s="349" t="s">
        <v>956</v>
      </c>
      <c r="C34" s="350">
        <f>C8</f>
        <v>1</v>
      </c>
      <c r="D34" s="554"/>
      <c r="E34" s="1011"/>
      <c r="F34" s="982"/>
    </row>
    <row r="35" spans="2:6">
      <c r="B35" s="349" t="s">
        <v>955</v>
      </c>
      <c r="C35" s="350">
        <f>IF(C7&gt;0,C8,0)</f>
        <v>0</v>
      </c>
      <c r="D35" s="554"/>
      <c r="E35" s="1011"/>
      <c r="F35" s="982"/>
    </row>
    <row r="36" spans="2:6" ht="12.75">
      <c r="B36" s="997" t="s">
        <v>145</v>
      </c>
      <c r="C36" s="350">
        <f>C11</f>
        <v>0</v>
      </c>
      <c r="D36" s="554"/>
      <c r="E36" s="1011"/>
    </row>
    <row r="37" spans="2:6">
      <c r="B37" s="344" t="s">
        <v>967</v>
      </c>
      <c r="C37" s="345">
        <f>C8*C4</f>
        <v>5</v>
      </c>
      <c r="D37" s="554"/>
      <c r="E37" s="1011">
        <f t="shared" si="0"/>
        <v>0</v>
      </c>
    </row>
    <row r="38" spans="2:6">
      <c r="B38" s="344" t="s">
        <v>968</v>
      </c>
      <c r="C38" s="345">
        <f>C8*C4</f>
        <v>5</v>
      </c>
      <c r="D38" s="554"/>
      <c r="E38" s="1011">
        <f t="shared" si="0"/>
        <v>0</v>
      </c>
    </row>
    <row r="39" spans="2:6">
      <c r="B39" s="344" t="s">
        <v>950</v>
      </c>
      <c r="C39" s="345">
        <f>IF(C6&gt;0,C4*C8,0)</f>
        <v>5</v>
      </c>
      <c r="D39" s="554"/>
      <c r="E39" s="1011">
        <f t="shared" si="0"/>
        <v>0</v>
      </c>
    </row>
    <row r="40" spans="2:6">
      <c r="B40" s="349" t="s">
        <v>951</v>
      </c>
      <c r="C40" s="350">
        <f>IF(C7&gt;0,C4*C8,0)</f>
        <v>0</v>
      </c>
      <c r="D40" s="554"/>
      <c r="E40" s="1011">
        <f t="shared" si="0"/>
        <v>0</v>
      </c>
    </row>
    <row r="41" spans="2:6">
      <c r="B41" s="349" t="s">
        <v>893</v>
      </c>
      <c r="C41" s="350">
        <f>(C6+C7-1)*2*C8</f>
        <v>2</v>
      </c>
      <c r="D41" s="554"/>
      <c r="E41" s="1011">
        <f t="shared" si="0"/>
        <v>0</v>
      </c>
    </row>
    <row r="42" spans="2:6">
      <c r="B42" s="349" t="s">
        <v>789</v>
      </c>
      <c r="C42" s="350">
        <f>C8*8</f>
        <v>8</v>
      </c>
      <c r="D42" s="554"/>
      <c r="E42" s="1011">
        <f t="shared" si="0"/>
        <v>0</v>
      </c>
    </row>
    <row r="43" spans="2:6">
      <c r="B43" s="349" t="s">
        <v>401</v>
      </c>
      <c r="C43" s="350">
        <f>C8*C4</f>
        <v>5</v>
      </c>
      <c r="D43" s="554"/>
      <c r="E43" s="1011">
        <f t="shared" si="0"/>
        <v>0</v>
      </c>
    </row>
    <row r="44" spans="2:6">
      <c r="B44" s="349" t="s">
        <v>402</v>
      </c>
      <c r="C44" s="350">
        <f>C13*C4*C8</f>
        <v>0</v>
      </c>
      <c r="D44" s="554"/>
      <c r="E44" s="1011">
        <f t="shared" si="0"/>
        <v>0</v>
      </c>
    </row>
    <row r="45" spans="2:6" ht="12" thickBot="1">
      <c r="B45" s="986" t="s">
        <v>952</v>
      </c>
      <c r="C45" s="405">
        <f>IF(C6&gt;0,C8,0)</f>
        <v>1</v>
      </c>
      <c r="D45" s="593"/>
      <c r="E45" s="1012">
        <f t="shared" si="0"/>
        <v>0</v>
      </c>
    </row>
    <row r="46" spans="2:6" ht="13.5" thickBot="1">
      <c r="B46" s="319"/>
      <c r="C46" s="319"/>
      <c r="D46" s="387" t="s">
        <v>9</v>
      </c>
      <c r="E46" s="988">
        <f>SUMIF(E16:E45,"&gt;0",E16:E45)</f>
        <v>0</v>
      </c>
    </row>
    <row r="49" spans="2:5" ht="15.75" thickBot="1">
      <c r="B49" s="993" t="s">
        <v>957</v>
      </c>
    </row>
    <row r="50" spans="2:5" ht="12.75">
      <c r="B50" s="574" t="s">
        <v>489</v>
      </c>
      <c r="C50" s="1004">
        <f>IF(C10=1,C8,0)</f>
        <v>0</v>
      </c>
      <c r="D50" s="989"/>
      <c r="E50" s="577">
        <f t="shared" ref="E50:E55" si="1">C50*D50</f>
        <v>0</v>
      </c>
    </row>
    <row r="51" spans="2:5" ht="12.75">
      <c r="B51" s="421" t="s">
        <v>486</v>
      </c>
      <c r="C51" s="1005">
        <f>IF(C10=6,C8,0)</f>
        <v>0</v>
      </c>
      <c r="D51" s="614"/>
      <c r="E51" s="326">
        <f t="shared" si="1"/>
        <v>0</v>
      </c>
    </row>
    <row r="52" spans="2:5" ht="12.75">
      <c r="B52" s="421" t="s">
        <v>591</v>
      </c>
      <c r="C52" s="1005">
        <f>IF(C10=5,C8,0)</f>
        <v>0</v>
      </c>
      <c r="D52" s="614"/>
      <c r="E52" s="326">
        <f t="shared" si="1"/>
        <v>0</v>
      </c>
    </row>
    <row r="53" spans="2:5" ht="12.75">
      <c r="B53" s="421" t="s">
        <v>487</v>
      </c>
      <c r="C53" s="1005">
        <f>IF(C10=2,C8,0)</f>
        <v>0</v>
      </c>
      <c r="D53" s="614"/>
      <c r="E53" s="326">
        <f t="shared" si="1"/>
        <v>0</v>
      </c>
    </row>
    <row r="54" spans="2:5" ht="12.75">
      <c r="B54" s="421" t="s">
        <v>488</v>
      </c>
      <c r="C54" s="1005">
        <f>IF(C10=3,C8,0)</f>
        <v>0</v>
      </c>
      <c r="D54" s="614"/>
      <c r="E54" s="326">
        <f t="shared" si="1"/>
        <v>0</v>
      </c>
    </row>
    <row r="55" spans="2:5" ht="13.5" thickBot="1">
      <c r="B55" s="990" t="s">
        <v>494</v>
      </c>
      <c r="C55" s="1006">
        <f>IF(C10=4,C8,0)</f>
        <v>1</v>
      </c>
      <c r="D55" s="991"/>
      <c r="E55" s="336">
        <f t="shared" si="1"/>
        <v>0</v>
      </c>
    </row>
    <row r="56" spans="2:5" ht="13.5" thickBot="1">
      <c r="D56" s="992" t="s">
        <v>9</v>
      </c>
      <c r="E56" s="998">
        <f>SUMIF(E50:E55,"&gt;0",E50:E55)</f>
        <v>0</v>
      </c>
    </row>
  </sheetData>
  <sheetProtection algorithmName="SHA-512" hashValue="BjRUWlxpEQeNbYUYjdxVj+C713aJpLw7Hmwp2QoI0bSsFaAM7raY72GO5n74w3EQ0MaHE5nlotoWlAL0HlJWug==" saltValue="vM+ij/WZWDB6zoiBITuC1Q==" spinCount="100000" sheet="1" objects="1" scenarios="1"/>
  <mergeCells count="8">
    <mergeCell ref="B14:E14"/>
    <mergeCell ref="D10:F10"/>
    <mergeCell ref="D11:E11"/>
    <mergeCell ref="B3:E3"/>
    <mergeCell ref="D4:F5"/>
    <mergeCell ref="D6:F7"/>
    <mergeCell ref="D8:F8"/>
    <mergeCell ref="F12:F13"/>
  </mergeCells>
  <conditionalFormatting sqref="C16:E17 C37:E45 D32:E36 C20:E31 D18:E19">
    <cfRule type="cellIs" dxfId="114" priority="3" operator="greaterThan">
      <formula>0</formula>
    </cfRule>
  </conditionalFormatting>
  <conditionalFormatting sqref="E46">
    <cfRule type="cellIs" dxfId="113" priority="24" operator="greaterThan">
      <formula>0</formula>
    </cfRule>
  </conditionalFormatting>
  <conditionalFormatting sqref="D50:D55">
    <cfRule type="cellIs" dxfId="112" priority="15" operator="greaterThan">
      <formula>0</formula>
    </cfRule>
    <cfRule type="cellIs" dxfId="111" priority="16" operator="greaterThan">
      <formula>0</formula>
    </cfRule>
  </conditionalFormatting>
  <conditionalFormatting sqref="C50:C51 C53:C55">
    <cfRule type="cellIs" dxfId="110" priority="21" operator="equal">
      <formula>"ДА"</formula>
    </cfRule>
    <cfRule type="cellIs" dxfId="109" priority="22" operator="equal">
      <formula>"НЕТ"</formula>
    </cfRule>
  </conditionalFormatting>
  <conditionalFormatting sqref="C50:C51 C53:C55">
    <cfRule type="colorScale" priority="2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2">
    <cfRule type="cellIs" dxfId="108" priority="18" operator="equal">
      <formula>"ДА"</formula>
    </cfRule>
    <cfRule type="cellIs" dxfId="107" priority="19" operator="equal">
      <formula>"НЕТ"</formula>
    </cfRule>
  </conditionalFormatting>
  <conditionalFormatting sqref="C52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50:E55">
    <cfRule type="cellIs" dxfId="106" priority="17" operator="greaterThan">
      <formula>0</formula>
    </cfRule>
  </conditionalFormatting>
  <conditionalFormatting sqref="C50:C55">
    <cfRule type="cellIs" dxfId="105" priority="13" operator="equal">
      <formula>"НЕТ"</formula>
    </cfRule>
    <cfRule type="cellIs" dxfId="104" priority="14" operator="equal">
      <formula>"ДА"</formula>
    </cfRule>
  </conditionalFormatting>
  <conditionalFormatting sqref="C50:C55">
    <cfRule type="cellIs" dxfId="103" priority="12" operator="equal">
      <formula>"ДА"</formula>
    </cfRule>
  </conditionalFormatting>
  <conditionalFormatting sqref="C52">
    <cfRule type="cellIs" dxfId="102" priority="9" operator="equal">
      <formula>"ДА"</formula>
    </cfRule>
    <cfRule type="cellIs" dxfId="101" priority="10" operator="equal">
      <formula>"НЕТ"</formula>
    </cfRule>
  </conditionalFormatting>
  <conditionalFormatting sqref="C52">
    <cfRule type="colorScale" priority="1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50:E55">
    <cfRule type="cellIs" dxfId="100" priority="25" operator="greaterThan">
      <formula>0</formula>
    </cfRule>
    <cfRule type="cellIs" dxfId="99" priority="4" operator="greaterThan">
      <formula>0</formula>
    </cfRule>
    <cfRule type="cellIs" dxfId="98" priority="8" operator="greaterThan">
      <formula>0</formula>
    </cfRule>
  </conditionalFormatting>
  <conditionalFormatting sqref="C52">
    <cfRule type="cellIs" dxfId="97" priority="5" operator="equal">
      <formula>"ДА"</formula>
    </cfRule>
    <cfRule type="cellIs" dxfId="96" priority="6" operator="equal">
      <formula>"НЕТ"</formula>
    </cfRule>
  </conditionalFormatting>
  <conditionalFormatting sqref="C52">
    <cfRule type="colorScale" priority="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2:C36">
    <cfRule type="cellIs" dxfId="95" priority="2" operator="greaterThan">
      <formula>0</formula>
    </cfRule>
  </conditionalFormatting>
  <conditionalFormatting sqref="C18:C19">
    <cfRule type="cellIs" dxfId="94" priority="1" operator="greaterThan">
      <formula>0</formula>
    </cfRule>
  </conditionalFormatting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7"/>
  <sheetViews>
    <sheetView workbookViewId="0">
      <pane xSplit="1" ySplit="16" topLeftCell="B17" activePane="bottomRight" state="frozen"/>
      <selection pane="topRight" activeCell="B1" sqref="B1"/>
      <selection pane="bottomLeft" activeCell="A17" sqref="A17"/>
      <selection pane="bottomRight" activeCell="F28" sqref="F28"/>
    </sheetView>
  </sheetViews>
  <sheetFormatPr defaultRowHeight="11.25"/>
  <cols>
    <col min="2" max="2" width="49.5" customWidth="1"/>
    <col min="4" max="4" width="13" customWidth="1"/>
    <col min="5" max="5" width="15.1640625" customWidth="1"/>
    <col min="6" max="6" width="29.6640625" customWidth="1"/>
  </cols>
  <sheetData>
    <row r="3" spans="2:6" ht="27" thickBot="1">
      <c r="B3" s="1168"/>
      <c r="C3" s="1169"/>
      <c r="D3" s="1169"/>
      <c r="E3" s="1169"/>
      <c r="F3" s="951"/>
    </row>
    <row r="4" spans="2:6">
      <c r="B4" s="967" t="s">
        <v>10</v>
      </c>
      <c r="C4" s="968">
        <v>2</v>
      </c>
      <c r="D4" s="1321" t="s">
        <v>595</v>
      </c>
      <c r="E4" s="1321"/>
      <c r="F4" s="1322"/>
    </row>
    <row r="5" spans="2:6" ht="12" thickBot="1">
      <c r="B5" s="969" t="s">
        <v>1</v>
      </c>
      <c r="C5" s="970">
        <v>2</v>
      </c>
      <c r="D5" s="1323"/>
      <c r="E5" s="1323"/>
      <c r="F5" s="1324"/>
    </row>
    <row r="6" spans="2:6">
      <c r="B6" s="967" t="s">
        <v>940</v>
      </c>
      <c r="C6" s="971">
        <v>1</v>
      </c>
      <c r="D6" s="1325" t="s">
        <v>597</v>
      </c>
      <c r="E6" s="1325"/>
      <c r="F6" s="1326"/>
    </row>
    <row r="7" spans="2:6" ht="12" thickBot="1">
      <c r="B7" s="969" t="s">
        <v>414</v>
      </c>
      <c r="C7" s="972">
        <v>0</v>
      </c>
      <c r="D7" s="1327"/>
      <c r="E7" s="1327"/>
      <c r="F7" s="1328"/>
    </row>
    <row r="8" spans="2:6" ht="12" thickBot="1">
      <c r="B8" s="1007" t="s">
        <v>959</v>
      </c>
      <c r="C8" s="971">
        <v>0</v>
      </c>
      <c r="D8" s="513" t="s">
        <v>960</v>
      </c>
      <c r="E8" s="367" t="s">
        <v>961</v>
      </c>
      <c r="F8" s="1008"/>
    </row>
    <row r="9" spans="2:6" ht="11.25" customHeight="1">
      <c r="B9" s="820" t="s">
        <v>589</v>
      </c>
      <c r="C9" s="837">
        <v>4</v>
      </c>
      <c r="D9" s="1331" t="s">
        <v>958</v>
      </c>
      <c r="E9" s="1332"/>
      <c r="F9" s="1333"/>
    </row>
    <row r="10" spans="2:6" ht="12" thickBot="1">
      <c r="B10" s="821" t="s">
        <v>277</v>
      </c>
      <c r="C10" s="836">
        <v>0</v>
      </c>
      <c r="D10" s="1165" t="s">
        <v>30</v>
      </c>
      <c r="E10" s="1166"/>
      <c r="F10" s="974"/>
    </row>
    <row r="11" spans="2:6">
      <c r="B11" s="1017" t="s">
        <v>361</v>
      </c>
      <c r="C11" s="1018">
        <v>0</v>
      </c>
      <c r="D11" s="513" t="s">
        <v>287</v>
      </c>
      <c r="E11" s="367" t="s">
        <v>255</v>
      </c>
      <c r="F11" s="1342" t="s">
        <v>597</v>
      </c>
    </row>
    <row r="12" spans="2:6">
      <c r="B12" s="1019" t="s">
        <v>362</v>
      </c>
      <c r="C12" s="1020">
        <v>0</v>
      </c>
      <c r="D12" s="514" t="s">
        <v>287</v>
      </c>
      <c r="E12" s="372" t="s">
        <v>255</v>
      </c>
      <c r="F12" s="1343"/>
    </row>
    <row r="13" spans="2:6">
      <c r="B13" s="1021" t="s">
        <v>466</v>
      </c>
      <c r="C13" s="1022">
        <v>1</v>
      </c>
      <c r="D13" s="370" t="s">
        <v>287</v>
      </c>
      <c r="E13" s="369" t="s">
        <v>255</v>
      </c>
      <c r="F13" s="1343"/>
    </row>
    <row r="14" spans="2:6" ht="12" thickBot="1">
      <c r="B14" s="1023" t="s">
        <v>984</v>
      </c>
      <c r="C14" s="1024">
        <v>0</v>
      </c>
      <c r="D14" s="524" t="s">
        <v>287</v>
      </c>
      <c r="E14" s="374" t="s">
        <v>255</v>
      </c>
      <c r="F14" s="1344"/>
    </row>
    <row r="15" spans="2:6" ht="12" thickBot="1">
      <c r="B15" s="1263"/>
      <c r="C15" s="1263"/>
      <c r="D15" s="1263"/>
      <c r="E15" s="1263"/>
      <c r="F15" s="952"/>
    </row>
    <row r="16" spans="2:6" ht="13.5" thickBot="1">
      <c r="B16" s="975" t="s">
        <v>5</v>
      </c>
      <c r="C16" s="976" t="s">
        <v>0</v>
      </c>
      <c r="D16" s="977" t="s">
        <v>4</v>
      </c>
      <c r="E16" s="978" t="s">
        <v>8</v>
      </c>
      <c r="F16" s="979"/>
    </row>
    <row r="17" spans="2:6">
      <c r="B17" s="1025" t="s">
        <v>985</v>
      </c>
      <c r="C17" s="1028">
        <f>C13*(C6+C7)</f>
        <v>1</v>
      </c>
      <c r="D17" s="461"/>
      <c r="E17" s="1010">
        <f t="shared" ref="E17:E46" si="0">D17*C17</f>
        <v>0</v>
      </c>
      <c r="F17" s="982"/>
    </row>
    <row r="18" spans="2:6">
      <c r="B18" s="344" t="s">
        <v>117</v>
      </c>
      <c r="C18" s="1029">
        <f>(C11+C12)*2*(C6+C7)</f>
        <v>0</v>
      </c>
      <c r="D18" s="619"/>
      <c r="E18" s="1027">
        <f t="shared" si="0"/>
        <v>0</v>
      </c>
      <c r="F18" s="982"/>
    </row>
    <row r="19" spans="2:6">
      <c r="B19" s="344" t="s">
        <v>986</v>
      </c>
      <c r="C19" s="1030">
        <f>C14*(C6+C7)</f>
        <v>0</v>
      </c>
      <c r="D19" s="554"/>
      <c r="E19" s="1011">
        <f t="shared" si="0"/>
        <v>0</v>
      </c>
      <c r="F19" s="982"/>
    </row>
    <row r="20" spans="2:6">
      <c r="B20" s="349" t="s">
        <v>962</v>
      </c>
      <c r="C20" s="1031">
        <f>IF(AND(C6+C7&gt;0,C4&lt;=1),(C6+C7)*2,IF(AND(C6+C7&gt;0,C4&lt;=1.5),(C6+C7)*3,IF(AND(C6+C7&gt;0,C4&lt;=2),(C6+C7)*4,IF(AND(C6+C7&gt;0,C4&lt;=2.5),(C6+C7)*5,IF(AND(C6+C7&gt;0,C4&lt;=3),(C6+C7)*6,0)))))</f>
        <v>4</v>
      </c>
      <c r="D20" s="554"/>
      <c r="E20" s="1011">
        <f t="shared" si="0"/>
        <v>0</v>
      </c>
      <c r="F20" s="982"/>
    </row>
    <row r="21" spans="2:6">
      <c r="B21" s="349" t="s">
        <v>963</v>
      </c>
      <c r="C21" s="1031">
        <f>IF(AND(C6+C7&gt;0,C4&lt;=1,C8=1),(C6+C7)*2,IF(AND(C6+C7&gt;0,C4&lt;=1.5,C8=1),(C6+C7)*3,IF(AND(C6+C7&gt;0,C4&lt;=2,C8=1),(C6+C7)*4,IF(AND(C6+C7&gt;0,C4&lt;=2.5,C8=1),(C6+C7)*5,IF(AND(C6+C7&gt;0,C4&lt;=3,C8=1),(C6+C7)*6,0)))))</f>
        <v>0</v>
      </c>
      <c r="D21" s="554"/>
      <c r="E21" s="1011">
        <f t="shared" si="0"/>
        <v>0</v>
      </c>
      <c r="F21" s="982"/>
    </row>
    <row r="22" spans="2:6">
      <c r="B22" s="349" t="s">
        <v>964</v>
      </c>
      <c r="C22" s="1031">
        <f>IF(C4&gt;0,(C6+C7),0)</f>
        <v>1</v>
      </c>
      <c r="D22" s="554"/>
      <c r="E22" s="1011">
        <f t="shared" si="0"/>
        <v>0</v>
      </c>
      <c r="F22" s="982"/>
    </row>
    <row r="23" spans="2:6">
      <c r="B23" s="349" t="s">
        <v>965</v>
      </c>
      <c r="C23" s="1031">
        <f>IF(C4&gt;0,(C6+C7),0)</f>
        <v>1</v>
      </c>
      <c r="D23" s="554"/>
      <c r="E23" s="1011">
        <f t="shared" si="0"/>
        <v>0</v>
      </c>
      <c r="F23" s="982"/>
    </row>
    <row r="24" spans="2:6">
      <c r="B24" s="344" t="s">
        <v>966</v>
      </c>
      <c r="C24" s="1032">
        <f>(C6+C7)</f>
        <v>1</v>
      </c>
      <c r="D24" s="554"/>
      <c r="E24" s="1011">
        <f t="shared" si="0"/>
        <v>0</v>
      </c>
      <c r="F24" s="982"/>
    </row>
    <row r="25" spans="2:6">
      <c r="B25" s="349" t="s">
        <v>119</v>
      </c>
      <c r="C25" s="1030">
        <f>IF(C7&gt;0,C4*C7+(C11*(C6+C7)*C4),0)</f>
        <v>0</v>
      </c>
      <c r="D25" s="554"/>
      <c r="E25" s="1011">
        <f t="shared" si="0"/>
        <v>0</v>
      </c>
      <c r="F25" s="982"/>
    </row>
    <row r="26" spans="2:6">
      <c r="B26" s="344" t="s">
        <v>987</v>
      </c>
      <c r="C26" s="1030">
        <f>C12*2*(C6+C7)*C4</f>
        <v>0</v>
      </c>
      <c r="D26" s="554"/>
      <c r="E26" s="1011">
        <f t="shared" si="0"/>
        <v>0</v>
      </c>
      <c r="F26" s="982"/>
    </row>
    <row r="27" spans="2:6">
      <c r="B27" s="349" t="s">
        <v>988</v>
      </c>
      <c r="C27" s="1030">
        <f>C13*(C6+C7)*C4</f>
        <v>2</v>
      </c>
      <c r="D27" s="554"/>
      <c r="E27" s="1011">
        <f t="shared" si="0"/>
        <v>0</v>
      </c>
      <c r="F27" s="982"/>
    </row>
    <row r="28" spans="2:6">
      <c r="B28" s="349" t="s">
        <v>945</v>
      </c>
      <c r="C28" s="1030">
        <f>C4*(C14*(C6+C7))</f>
        <v>0</v>
      </c>
      <c r="D28" s="554"/>
      <c r="E28" s="1011">
        <f t="shared" si="0"/>
        <v>0</v>
      </c>
      <c r="F28" s="982"/>
    </row>
    <row r="29" spans="2:6">
      <c r="B29" s="344" t="s">
        <v>946</v>
      </c>
      <c r="C29" s="1030">
        <f>C4*C6</f>
        <v>2</v>
      </c>
      <c r="D29" s="554"/>
      <c r="E29" s="1011">
        <f t="shared" si="0"/>
        <v>0</v>
      </c>
      <c r="F29" s="982"/>
    </row>
    <row r="30" spans="2:6">
      <c r="B30" s="344" t="s">
        <v>947</v>
      </c>
      <c r="C30" s="1031">
        <f>C4*C6</f>
        <v>2</v>
      </c>
      <c r="D30" s="554"/>
      <c r="E30" s="1011">
        <f t="shared" si="0"/>
        <v>0</v>
      </c>
      <c r="F30" s="982"/>
    </row>
    <row r="31" spans="2:6">
      <c r="B31" s="344" t="s">
        <v>948</v>
      </c>
      <c r="C31" s="1030">
        <f>C4*C7</f>
        <v>0</v>
      </c>
      <c r="D31" s="554"/>
      <c r="E31" s="1011">
        <f t="shared" si="0"/>
        <v>0</v>
      </c>
      <c r="F31" s="982"/>
    </row>
    <row r="32" spans="2:6">
      <c r="B32" s="349" t="s">
        <v>953</v>
      </c>
      <c r="C32" s="1031">
        <f>IF(C7&gt;0,C7,0)</f>
        <v>0</v>
      </c>
      <c r="D32" s="554"/>
      <c r="E32" s="1011">
        <f t="shared" si="0"/>
        <v>0</v>
      </c>
      <c r="F32" s="982"/>
    </row>
    <row r="33" spans="2:6">
      <c r="B33" s="349" t="s">
        <v>954</v>
      </c>
      <c r="C33" s="1031">
        <f>IF(C6&gt;0,C6,0)</f>
        <v>1</v>
      </c>
      <c r="D33" s="554"/>
      <c r="E33" s="1011">
        <f t="shared" si="0"/>
        <v>0</v>
      </c>
      <c r="F33" s="982"/>
    </row>
    <row r="34" spans="2:6">
      <c r="B34" s="349" t="s">
        <v>956</v>
      </c>
      <c r="C34" s="1031">
        <f>C6+C7</f>
        <v>1</v>
      </c>
      <c r="D34" s="554"/>
      <c r="E34" s="1011">
        <f t="shared" si="0"/>
        <v>0</v>
      </c>
      <c r="F34" s="982"/>
    </row>
    <row r="35" spans="2:6">
      <c r="B35" s="349" t="s">
        <v>955</v>
      </c>
      <c r="C35" s="1031">
        <f>IF(C7&gt;0,C7,0)</f>
        <v>0</v>
      </c>
      <c r="D35" s="554"/>
      <c r="E35" s="1011">
        <f t="shared" si="0"/>
        <v>0</v>
      </c>
      <c r="F35" s="982"/>
    </row>
    <row r="36" spans="2:6" ht="12.75">
      <c r="B36" s="997" t="s">
        <v>145</v>
      </c>
      <c r="C36" s="1031">
        <f>C10</f>
        <v>0</v>
      </c>
      <c r="D36" s="554"/>
      <c r="E36" s="1011">
        <f t="shared" si="0"/>
        <v>0</v>
      </c>
      <c r="F36" s="982"/>
    </row>
    <row r="37" spans="2:6">
      <c r="B37" s="344" t="s">
        <v>967</v>
      </c>
      <c r="C37" s="1030">
        <f>(C6+C7)*C4</f>
        <v>2</v>
      </c>
      <c r="D37" s="554"/>
      <c r="E37" s="1011">
        <f t="shared" si="0"/>
        <v>0</v>
      </c>
      <c r="F37" s="982"/>
    </row>
    <row r="38" spans="2:6">
      <c r="B38" s="344" t="s">
        <v>968</v>
      </c>
      <c r="C38" s="1030">
        <f>(C6+C7)*C4</f>
        <v>2</v>
      </c>
      <c r="D38" s="554"/>
      <c r="E38" s="1011">
        <f t="shared" si="0"/>
        <v>0</v>
      </c>
      <c r="F38" s="982"/>
    </row>
    <row r="39" spans="2:6">
      <c r="B39" s="344" t="s">
        <v>950</v>
      </c>
      <c r="C39" s="1030">
        <f>C6</f>
        <v>1</v>
      </c>
      <c r="D39" s="554"/>
      <c r="E39" s="1011">
        <f t="shared" si="0"/>
        <v>0</v>
      </c>
      <c r="F39" s="982"/>
    </row>
    <row r="40" spans="2:6">
      <c r="B40" s="349" t="s">
        <v>951</v>
      </c>
      <c r="C40" s="1031">
        <f>C7</f>
        <v>0</v>
      </c>
      <c r="D40" s="554"/>
      <c r="E40" s="1011">
        <f t="shared" si="0"/>
        <v>0</v>
      </c>
      <c r="F40" s="982"/>
    </row>
    <row r="41" spans="2:6">
      <c r="B41" s="349" t="s">
        <v>789</v>
      </c>
      <c r="C41" s="1031">
        <f>(C6+C7)*8</f>
        <v>8</v>
      </c>
      <c r="D41" s="554"/>
      <c r="E41" s="1011">
        <f t="shared" si="0"/>
        <v>0</v>
      </c>
      <c r="F41" s="982"/>
    </row>
    <row r="42" spans="2:6">
      <c r="B42" s="349" t="s">
        <v>989</v>
      </c>
      <c r="C42" s="1031">
        <f>(C6+C7)*C4*C13</f>
        <v>2</v>
      </c>
      <c r="D42" s="554"/>
      <c r="E42" s="1011">
        <f t="shared" si="0"/>
        <v>0</v>
      </c>
      <c r="F42" s="982"/>
    </row>
    <row r="43" spans="2:6">
      <c r="B43" s="349" t="s">
        <v>364</v>
      </c>
      <c r="C43" s="1031">
        <f>(C6+C7)*C4*C11</f>
        <v>0</v>
      </c>
      <c r="D43" s="554"/>
      <c r="E43" s="1011">
        <f t="shared" si="0"/>
        <v>0</v>
      </c>
      <c r="F43" s="982"/>
    </row>
    <row r="44" spans="2:6">
      <c r="B44" s="349" t="s">
        <v>365</v>
      </c>
      <c r="C44" s="1031">
        <f>(C6+C7)*C4*C12</f>
        <v>0</v>
      </c>
      <c r="D44" s="554"/>
      <c r="E44" s="1011">
        <f t="shared" si="0"/>
        <v>0</v>
      </c>
      <c r="F44" s="982"/>
    </row>
    <row r="45" spans="2:6">
      <c r="B45" s="349" t="s">
        <v>990</v>
      </c>
      <c r="C45" s="1031">
        <f>(C6+C7)*C4*C14</f>
        <v>0</v>
      </c>
      <c r="D45" s="554"/>
      <c r="E45" s="1011">
        <f t="shared" si="0"/>
        <v>0</v>
      </c>
      <c r="F45" s="982"/>
    </row>
    <row r="46" spans="2:6" ht="12" thickBot="1">
      <c r="B46" s="986" t="s">
        <v>952</v>
      </c>
      <c r="C46" s="1033">
        <f>IF(C4&gt;0,C6,0)</f>
        <v>1</v>
      </c>
      <c r="D46" s="593"/>
      <c r="E46" s="1012">
        <f t="shared" si="0"/>
        <v>0</v>
      </c>
      <c r="F46" s="982"/>
    </row>
    <row r="47" spans="2:6" ht="13.5" thickBot="1">
      <c r="B47" s="319"/>
      <c r="C47" s="319"/>
      <c r="D47" s="387" t="s">
        <v>9</v>
      </c>
      <c r="E47" s="988">
        <f>SUMIF(E17:E46,"&gt;0",E17:E46)</f>
        <v>0</v>
      </c>
      <c r="F47" s="982"/>
    </row>
    <row r="48" spans="2:6">
      <c r="F48" s="982"/>
    </row>
    <row r="49" spans="2:6">
      <c r="F49" s="982"/>
    </row>
    <row r="50" spans="2:6" ht="15.75" thickBot="1">
      <c r="B50" s="993" t="s">
        <v>957</v>
      </c>
      <c r="F50" s="982"/>
    </row>
    <row r="51" spans="2:6" ht="12.75">
      <c r="B51" s="574" t="s">
        <v>489</v>
      </c>
      <c r="C51" s="1004">
        <f>IF(C9=1,C6+C7,0)</f>
        <v>0</v>
      </c>
      <c r="D51" s="989"/>
      <c r="E51" s="577">
        <f t="shared" ref="E51:E56" si="1">C51*D51</f>
        <v>0</v>
      </c>
    </row>
    <row r="52" spans="2:6" ht="12.75">
      <c r="B52" s="421" t="s">
        <v>486</v>
      </c>
      <c r="C52" s="1005">
        <f>IF(C9=6,C6+C7,0)</f>
        <v>0</v>
      </c>
      <c r="D52" s="614"/>
      <c r="E52" s="326">
        <f t="shared" si="1"/>
        <v>0</v>
      </c>
    </row>
    <row r="53" spans="2:6" ht="12.75">
      <c r="B53" s="421" t="s">
        <v>591</v>
      </c>
      <c r="C53" s="1005">
        <f>IF(C9=5,C6+C7,0)</f>
        <v>0</v>
      </c>
      <c r="D53" s="614"/>
      <c r="E53" s="326">
        <f t="shared" si="1"/>
        <v>0</v>
      </c>
    </row>
    <row r="54" spans="2:6" ht="12.75">
      <c r="B54" s="421" t="s">
        <v>487</v>
      </c>
      <c r="C54" s="1005">
        <f>IF(C9=2,C6+C7,0)</f>
        <v>0</v>
      </c>
      <c r="D54" s="614"/>
      <c r="E54" s="326">
        <f t="shared" si="1"/>
        <v>0</v>
      </c>
    </row>
    <row r="55" spans="2:6" ht="12.75">
      <c r="B55" s="421" t="s">
        <v>488</v>
      </c>
      <c r="C55" s="1005">
        <f>IF(C9=3,C6+C7,0)</f>
        <v>0</v>
      </c>
      <c r="D55" s="614"/>
      <c r="E55" s="326">
        <f t="shared" si="1"/>
        <v>0</v>
      </c>
    </row>
    <row r="56" spans="2:6" ht="13.5" thickBot="1">
      <c r="B56" s="990" t="s">
        <v>494</v>
      </c>
      <c r="C56" s="1006">
        <f>IF(C9=4,C6+C7,0)</f>
        <v>1</v>
      </c>
      <c r="D56" s="991"/>
      <c r="E56" s="336">
        <f t="shared" si="1"/>
        <v>0</v>
      </c>
    </row>
    <row r="57" spans="2:6" ht="13.5" thickBot="1">
      <c r="D57" s="992" t="s">
        <v>9</v>
      </c>
      <c r="E57" s="998">
        <f>SUMIF(E51:E56,"&gt;0",E51:E56)</f>
        <v>0</v>
      </c>
    </row>
  </sheetData>
  <sheetProtection algorithmName="SHA-512" hashValue="8C8LuVt93rsoHTr4HgHPKvdY0ffFYabUonHSzaECZ5OEHcN54iJXj1BS8KwOp3vzNRi1J7k7khT+WKVp5VIQVA==" saltValue="nc7km5viiXCRbdbmJEo6tg==" spinCount="100000" sheet="1" objects="1" scenarios="1"/>
  <mergeCells count="7">
    <mergeCell ref="B3:E3"/>
    <mergeCell ref="D4:F5"/>
    <mergeCell ref="D6:F7"/>
    <mergeCell ref="F11:F14"/>
    <mergeCell ref="B15:E15"/>
    <mergeCell ref="D9:F9"/>
    <mergeCell ref="D10:E10"/>
  </mergeCells>
  <conditionalFormatting sqref="D46:E46 C37:E45 D32:E36 C17:E31">
    <cfRule type="cellIs" dxfId="93" priority="27" operator="greaterThan">
      <formula>0</formula>
    </cfRule>
  </conditionalFormatting>
  <conditionalFormatting sqref="E47">
    <cfRule type="cellIs" dxfId="92" priority="26" operator="greaterThan">
      <formula>0</formula>
    </cfRule>
  </conditionalFormatting>
  <conditionalFormatting sqref="C46">
    <cfRule type="cellIs" dxfId="91" priority="4" operator="greaterThan">
      <formula>0</formula>
    </cfRule>
  </conditionalFormatting>
  <conditionalFormatting sqref="D51:D56">
    <cfRule type="cellIs" dxfId="90" priority="17" operator="greaterThan">
      <formula>0</formula>
    </cfRule>
    <cfRule type="cellIs" dxfId="89" priority="18" operator="greaterThan">
      <formula>0</formula>
    </cfRule>
  </conditionalFormatting>
  <conditionalFormatting sqref="C51:C52 C54:C56">
    <cfRule type="cellIs" dxfId="88" priority="23" operator="equal">
      <formula>"ДА"</formula>
    </cfRule>
    <cfRule type="cellIs" dxfId="87" priority="24" operator="equal">
      <formula>"НЕТ"</formula>
    </cfRule>
  </conditionalFormatting>
  <conditionalFormatting sqref="C51:C52 C54:C56">
    <cfRule type="colorScale" priority="2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3">
    <cfRule type="cellIs" dxfId="86" priority="20" operator="equal">
      <formula>"ДА"</formula>
    </cfRule>
    <cfRule type="cellIs" dxfId="85" priority="21" operator="equal">
      <formula>"НЕТ"</formula>
    </cfRule>
  </conditionalFormatting>
  <conditionalFormatting sqref="C53">
    <cfRule type="colorScale" priority="2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51:E56">
    <cfRule type="cellIs" dxfId="84" priority="19" operator="greaterThan">
      <formula>0</formula>
    </cfRule>
  </conditionalFormatting>
  <conditionalFormatting sqref="C51:C56">
    <cfRule type="cellIs" dxfId="83" priority="15" operator="equal">
      <formula>"НЕТ"</formula>
    </cfRule>
    <cfRule type="cellIs" dxfId="82" priority="16" operator="equal">
      <formula>"ДА"</formula>
    </cfRule>
  </conditionalFormatting>
  <conditionalFormatting sqref="C51:C56">
    <cfRule type="cellIs" dxfId="81" priority="14" operator="equal">
      <formula>"ДА"</formula>
    </cfRule>
  </conditionalFormatting>
  <conditionalFormatting sqref="C53">
    <cfRule type="cellIs" dxfId="80" priority="11" operator="equal">
      <formula>"ДА"</formula>
    </cfRule>
    <cfRule type="cellIs" dxfId="79" priority="12" operator="equal">
      <formula>"НЕТ"</formula>
    </cfRule>
  </conditionalFormatting>
  <conditionalFormatting sqref="C53">
    <cfRule type="colorScale" priority="1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51:E56">
    <cfRule type="cellIs" dxfId="78" priority="5" operator="greaterThan">
      <formula>0</formula>
    </cfRule>
    <cfRule type="cellIs" dxfId="77" priority="6" operator="greaterThan">
      <formula>0</formula>
    </cfRule>
    <cfRule type="cellIs" dxfId="76" priority="10" operator="greaterThan">
      <formula>0</formula>
    </cfRule>
  </conditionalFormatting>
  <conditionalFormatting sqref="C53">
    <cfRule type="cellIs" dxfId="75" priority="7" operator="equal">
      <formula>"ДА"</formula>
    </cfRule>
    <cfRule type="cellIs" dxfId="74" priority="8" operator="equal">
      <formula>"НЕТ"</formula>
    </cfRule>
  </conditionalFormatting>
  <conditionalFormatting sqref="C53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2:C36">
    <cfRule type="cellIs" dxfId="73" priority="3" operator="greaterThan">
      <formula>0</formula>
    </cfRule>
  </conditionalFormatting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2"/>
  <sheetViews>
    <sheetView workbookViewId="0">
      <pane xSplit="1" ySplit="18" topLeftCell="B19" activePane="bottomRight" state="frozen"/>
      <selection pane="topRight" activeCell="B1" sqref="B1"/>
      <selection pane="bottomLeft" activeCell="A19" sqref="A19"/>
      <selection pane="bottomRight" activeCell="C4" sqref="C4:C16"/>
    </sheetView>
  </sheetViews>
  <sheetFormatPr defaultRowHeight="11.25"/>
  <cols>
    <col min="2" max="2" width="52.6640625" customWidth="1"/>
    <col min="4" max="4" width="13.6640625" customWidth="1"/>
    <col min="5" max="5" width="12.6640625" customWidth="1"/>
    <col min="6" max="6" width="29.83203125" customWidth="1"/>
  </cols>
  <sheetData>
    <row r="3" spans="2:6" ht="27" thickBot="1">
      <c r="B3" s="1168"/>
      <c r="C3" s="1169"/>
      <c r="D3" s="1169"/>
      <c r="E3" s="1169"/>
      <c r="F3" s="951"/>
    </row>
    <row r="4" spans="2:6">
      <c r="B4" s="967" t="s">
        <v>970</v>
      </c>
      <c r="C4" s="968">
        <v>4</v>
      </c>
      <c r="D4" s="1265" t="s">
        <v>595</v>
      </c>
      <c r="E4" s="1266"/>
      <c r="F4" s="1267"/>
    </row>
    <row r="5" spans="2:6" ht="12" thickBot="1">
      <c r="B5" s="969" t="s">
        <v>558</v>
      </c>
      <c r="C5" s="970">
        <v>2</v>
      </c>
      <c r="D5" s="1336"/>
      <c r="E5" s="1337"/>
      <c r="F5" s="1338"/>
    </row>
    <row r="6" spans="2:6">
      <c r="B6" s="967" t="s">
        <v>971</v>
      </c>
      <c r="C6" s="968">
        <v>1</v>
      </c>
      <c r="D6" s="1336"/>
      <c r="E6" s="1337"/>
      <c r="F6" s="1338"/>
    </row>
    <row r="7" spans="2:6" ht="12" thickBot="1">
      <c r="B7" s="969" t="s">
        <v>559</v>
      </c>
      <c r="C7" s="970">
        <v>2</v>
      </c>
      <c r="D7" s="1268"/>
      <c r="E7" s="1269"/>
      <c r="F7" s="1270"/>
    </row>
    <row r="8" spans="2:6">
      <c r="B8" s="967" t="s">
        <v>940</v>
      </c>
      <c r="C8" s="971">
        <v>1</v>
      </c>
      <c r="D8" s="1325" t="s">
        <v>597</v>
      </c>
      <c r="E8" s="1325"/>
      <c r="F8" s="1326"/>
    </row>
    <row r="9" spans="2:6" ht="12" thickBot="1">
      <c r="B9" s="969" t="s">
        <v>414</v>
      </c>
      <c r="C9" s="972">
        <v>0</v>
      </c>
      <c r="D9" s="1327"/>
      <c r="E9" s="1327"/>
      <c r="F9" s="1328"/>
    </row>
    <row r="10" spans="2:6" ht="12" thickBot="1">
      <c r="B10" s="1007" t="s">
        <v>959</v>
      </c>
      <c r="C10" s="971">
        <v>1</v>
      </c>
      <c r="D10" s="513" t="s">
        <v>960</v>
      </c>
      <c r="E10" s="367" t="s">
        <v>961</v>
      </c>
      <c r="F10" s="1008"/>
    </row>
    <row r="11" spans="2:6" ht="22.5" customHeight="1">
      <c r="B11" s="820" t="s">
        <v>589</v>
      </c>
      <c r="C11" s="837">
        <v>4</v>
      </c>
      <c r="D11" s="1331" t="s">
        <v>958</v>
      </c>
      <c r="E11" s="1332"/>
      <c r="F11" s="1333"/>
    </row>
    <row r="12" spans="2:6" ht="12" thickBot="1">
      <c r="B12" s="821" t="s">
        <v>277</v>
      </c>
      <c r="C12" s="836">
        <v>1</v>
      </c>
      <c r="D12" s="1165" t="s">
        <v>30</v>
      </c>
      <c r="E12" s="1166"/>
      <c r="F12" s="974"/>
    </row>
    <row r="13" spans="2:6">
      <c r="B13" s="1017" t="s">
        <v>361</v>
      </c>
      <c r="C13" s="1018">
        <v>0</v>
      </c>
      <c r="D13" s="513" t="s">
        <v>287</v>
      </c>
      <c r="E13" s="367" t="s">
        <v>255</v>
      </c>
      <c r="F13" s="1342" t="s">
        <v>597</v>
      </c>
    </row>
    <row r="14" spans="2:6">
      <c r="B14" s="1019" t="s">
        <v>362</v>
      </c>
      <c r="C14" s="1020">
        <v>0</v>
      </c>
      <c r="D14" s="514" t="s">
        <v>287</v>
      </c>
      <c r="E14" s="372" t="s">
        <v>255</v>
      </c>
      <c r="F14" s="1343"/>
    </row>
    <row r="15" spans="2:6">
      <c r="B15" s="1021" t="s">
        <v>466</v>
      </c>
      <c r="C15" s="1022">
        <v>1</v>
      </c>
      <c r="D15" s="370" t="s">
        <v>287</v>
      </c>
      <c r="E15" s="369" t="s">
        <v>255</v>
      </c>
      <c r="F15" s="1343"/>
    </row>
    <row r="16" spans="2:6" ht="12" thickBot="1">
      <c r="B16" s="1023" t="s">
        <v>984</v>
      </c>
      <c r="C16" s="1024">
        <v>0</v>
      </c>
      <c r="D16" s="524" t="s">
        <v>287</v>
      </c>
      <c r="E16" s="374" t="s">
        <v>255</v>
      </c>
      <c r="F16" s="1344"/>
    </row>
    <row r="17" spans="2:6" ht="12" thickBot="1">
      <c r="B17" s="1345"/>
      <c r="C17" s="1345"/>
      <c r="D17" s="1345"/>
      <c r="E17" s="1345"/>
      <c r="F17" s="952"/>
    </row>
    <row r="18" spans="2:6" ht="13.5" thickBot="1">
      <c r="B18" s="975" t="s">
        <v>5</v>
      </c>
      <c r="C18" s="976" t="s">
        <v>0</v>
      </c>
      <c r="D18" s="977" t="s">
        <v>4</v>
      </c>
      <c r="E18" s="978" t="s">
        <v>8</v>
      </c>
      <c r="F18" s="979"/>
    </row>
    <row r="19" spans="2:6">
      <c r="B19" s="1025" t="s">
        <v>985</v>
      </c>
      <c r="C19" s="1013">
        <f>C15*(C8+C9)*2</f>
        <v>2</v>
      </c>
      <c r="D19" s="461"/>
      <c r="E19" s="1011">
        <f t="shared" ref="E19:E50" si="0">D19*C19</f>
        <v>0</v>
      </c>
      <c r="F19" s="982"/>
    </row>
    <row r="20" spans="2:6">
      <c r="B20" s="344" t="s">
        <v>117</v>
      </c>
      <c r="C20" s="481">
        <f>(C13+C14)*4*(C8+C9)</f>
        <v>0</v>
      </c>
      <c r="D20" s="619"/>
      <c r="E20" s="1011">
        <f t="shared" si="0"/>
        <v>0</v>
      </c>
      <c r="F20" s="982"/>
    </row>
    <row r="21" spans="2:6">
      <c r="B21" s="344" t="s">
        <v>986</v>
      </c>
      <c r="C21" s="345">
        <f>C16*(C8+C9)*2</f>
        <v>0</v>
      </c>
      <c r="D21" s="554"/>
      <c r="E21" s="1011">
        <f t="shared" si="0"/>
        <v>0</v>
      </c>
      <c r="F21" s="982"/>
    </row>
    <row r="22" spans="2:6">
      <c r="B22" s="349" t="s">
        <v>962</v>
      </c>
      <c r="C22" s="350">
        <f>IF(AND(C8+C9&gt;0,C4&lt;=1),(C8+C9)*2,IF(AND(C8+C9&gt;0,C4&lt;=1.5),(C8+C9)*3,IF(AND(C8+C9&gt;0,C4&lt;=2),(C8+C9)*4,IF(AND(C8+C9&gt;0,C4&lt;=2.5),(C8+C9)*5,IF(AND(C8+C9&gt;0,C4&lt;=3),(C8+C9)*6,IF(AND(C8+C9&gt;0,C4&lt;=3.5),(C8+C9)*7,IF(AND(C8+C9&gt;0,C4&lt;=4),(C8+C9)*8,IF(AND(C8+C9&gt;0,C4&lt;=4.5),(C8+C9)*9,IF(AND(C8+C9&gt;0,C4&lt;=5),(C8+C9)*9,IF(AND(C8+C9&gt;0,C4&lt;=5.5),(C8)*10,IF(AND(C8+C9&gt;0,C4&lt;=6),(C8+C9)*11,0)))))))))))</f>
        <v>8</v>
      </c>
      <c r="D22" s="554"/>
      <c r="E22" s="1011">
        <f t="shared" si="0"/>
        <v>0</v>
      </c>
      <c r="F22" s="982"/>
    </row>
    <row r="23" spans="2:6">
      <c r="B23" s="349" t="s">
        <v>963</v>
      </c>
      <c r="C23" s="350">
        <f>IF(AND(C8+C9&gt;0,C4&lt;=1,C10=1),(C8+C9)*2,IF(AND(C8+C9&gt;0,C4&lt;=1.5,C10=1),(C8+C9)*3,IF(AND(C8+C9&gt;0,C4&lt;=2,C10=1),(C8+C9)*4,IF(AND(C8+C9&gt;0,C4&lt;=2.5,C10=1),(C8+C9)*5,IF(AND(C8+C9&gt;0,C4&lt;=3,C10=1),(C8+C9)*6,IF(AND(C8+C9&gt;0,C4&lt;=3.5,C10=1),(C8+C9)*7,IF(AND(C8+C9&gt;0,C4&lt;=4,C10=1),(C8+C9)*8,IF(AND(C8+C9&gt;0,C4&lt;=4.5,C10=1),(C8+C9)*9,IF(AND(C8+C9&gt;0,C4&lt;=5,C10=1),(C8+C9)*9,IF(AND(C8+C9&gt;0,C4&lt;=5.5,C10=1),(C8+C9)*10,IF(AND(C8+C9&gt;0,C4&lt;=6,C10=1),(C8+C9)*11,0)))))))))))</f>
        <v>8</v>
      </c>
      <c r="D23" s="554"/>
      <c r="E23" s="1011">
        <f t="shared" si="0"/>
        <v>0</v>
      </c>
      <c r="F23" s="982"/>
    </row>
    <row r="24" spans="2:6">
      <c r="B24" s="349" t="s">
        <v>972</v>
      </c>
      <c r="C24" s="350">
        <f>C8+C9</f>
        <v>1</v>
      </c>
      <c r="D24" s="554"/>
      <c r="E24" s="1011">
        <f t="shared" si="0"/>
        <v>0</v>
      </c>
      <c r="F24" s="982"/>
    </row>
    <row r="25" spans="2:6">
      <c r="B25" s="349" t="s">
        <v>973</v>
      </c>
      <c r="C25" s="350">
        <f>C9*2</f>
        <v>0</v>
      </c>
      <c r="D25" s="554"/>
      <c r="E25" s="1011">
        <f t="shared" si="0"/>
        <v>0</v>
      </c>
      <c r="F25" s="982"/>
    </row>
    <row r="26" spans="2:6">
      <c r="B26" s="349" t="s">
        <v>974</v>
      </c>
      <c r="C26" s="350">
        <f>C8+C9</f>
        <v>1</v>
      </c>
      <c r="D26" s="554"/>
      <c r="E26" s="1011">
        <f t="shared" si="0"/>
        <v>0</v>
      </c>
      <c r="F26" s="982"/>
    </row>
    <row r="27" spans="2:6">
      <c r="B27" s="349" t="s">
        <v>965</v>
      </c>
      <c r="C27" s="350">
        <f>IF(C4&gt;0,(C8+C9)*2,0)</f>
        <v>2</v>
      </c>
      <c r="D27" s="554"/>
      <c r="E27" s="1011">
        <f t="shared" si="0"/>
        <v>0</v>
      </c>
      <c r="F27" s="982"/>
    </row>
    <row r="28" spans="2:6">
      <c r="B28" s="344" t="s">
        <v>966</v>
      </c>
      <c r="C28" s="353">
        <f>(C8+C9)</f>
        <v>1</v>
      </c>
      <c r="D28" s="554"/>
      <c r="E28" s="1011">
        <f t="shared" si="0"/>
        <v>0</v>
      </c>
      <c r="F28" s="982"/>
    </row>
    <row r="29" spans="2:6">
      <c r="B29" s="349" t="s">
        <v>119</v>
      </c>
      <c r="C29" s="345">
        <f>IF(C9&gt;0,(C4+C6)*C9+C13*(C4+C6)*(C8+C9),0)</f>
        <v>0</v>
      </c>
      <c r="D29" s="554"/>
      <c r="E29" s="1011">
        <f t="shared" si="0"/>
        <v>0</v>
      </c>
      <c r="F29" s="982"/>
    </row>
    <row r="30" spans="2:6">
      <c r="B30" s="344" t="s">
        <v>987</v>
      </c>
      <c r="C30" s="345">
        <f>(C4+C6)*(C8+C9)*C14*2</f>
        <v>0</v>
      </c>
      <c r="D30" s="554"/>
      <c r="E30" s="1011">
        <f t="shared" si="0"/>
        <v>0</v>
      </c>
      <c r="F30" s="982"/>
    </row>
    <row r="31" spans="2:6">
      <c r="B31" s="349" t="s">
        <v>988</v>
      </c>
      <c r="C31" s="345">
        <f>C15*(C4+C6)*(C8+C9)</f>
        <v>5</v>
      </c>
      <c r="D31" s="554"/>
      <c r="E31" s="1011">
        <f t="shared" si="0"/>
        <v>0</v>
      </c>
      <c r="F31" s="982"/>
    </row>
    <row r="32" spans="2:6">
      <c r="B32" s="349" t="s">
        <v>945</v>
      </c>
      <c r="C32" s="345">
        <f>((C4+C6)*(C8+C9)+(C4+C6)*(C8+C9))*C16</f>
        <v>0</v>
      </c>
      <c r="D32" s="554"/>
      <c r="E32" s="1011">
        <f t="shared" si="0"/>
        <v>0</v>
      </c>
      <c r="F32" s="982"/>
    </row>
    <row r="33" spans="2:6">
      <c r="B33" s="344" t="s">
        <v>946</v>
      </c>
      <c r="C33" s="345">
        <f>(C4+C6)*C8</f>
        <v>5</v>
      </c>
      <c r="D33" s="554"/>
      <c r="E33" s="1011">
        <f t="shared" si="0"/>
        <v>0</v>
      </c>
      <c r="F33" s="982"/>
    </row>
    <row r="34" spans="2:6">
      <c r="B34" s="349" t="s">
        <v>953</v>
      </c>
      <c r="C34" s="350">
        <f>IF(C9&gt;0,C9,0)</f>
        <v>0</v>
      </c>
      <c r="D34" s="554"/>
      <c r="E34" s="1011">
        <f t="shared" si="0"/>
        <v>0</v>
      </c>
      <c r="F34" s="982"/>
    </row>
    <row r="35" spans="2:6">
      <c r="B35" s="349" t="s">
        <v>954</v>
      </c>
      <c r="C35" s="350">
        <f>IF(C8&gt;0,C8,0)</f>
        <v>1</v>
      </c>
      <c r="D35" s="554"/>
      <c r="E35" s="1011">
        <f t="shared" si="0"/>
        <v>0</v>
      </c>
      <c r="F35" s="982"/>
    </row>
    <row r="36" spans="2:6">
      <c r="B36" s="349" t="s">
        <v>956</v>
      </c>
      <c r="C36" s="350">
        <f>C8+C9</f>
        <v>1</v>
      </c>
      <c r="D36" s="554"/>
      <c r="E36" s="1011">
        <f t="shared" si="0"/>
        <v>0</v>
      </c>
      <c r="F36" s="982"/>
    </row>
    <row r="37" spans="2:6">
      <c r="B37" s="349" t="s">
        <v>955</v>
      </c>
      <c r="C37" s="350">
        <f>IF(C9&gt;0,C9,0)</f>
        <v>0</v>
      </c>
      <c r="D37" s="554"/>
      <c r="E37" s="1011">
        <f t="shared" si="0"/>
        <v>0</v>
      </c>
      <c r="F37" s="982"/>
    </row>
    <row r="38" spans="2:6" ht="12.75">
      <c r="B38" s="997" t="s">
        <v>145</v>
      </c>
      <c r="C38" s="350">
        <f>C12</f>
        <v>1</v>
      </c>
      <c r="D38" s="554"/>
      <c r="E38" s="1011">
        <f t="shared" si="0"/>
        <v>0</v>
      </c>
      <c r="F38" s="982"/>
    </row>
    <row r="39" spans="2:6">
      <c r="B39" s="344" t="s">
        <v>947</v>
      </c>
      <c r="C39" s="350">
        <f>(C4+C6)*C8</f>
        <v>5</v>
      </c>
      <c r="D39" s="554"/>
      <c r="E39" s="1011">
        <f t="shared" si="0"/>
        <v>0</v>
      </c>
      <c r="F39" s="982"/>
    </row>
    <row r="40" spans="2:6">
      <c r="B40" s="344" t="s">
        <v>948</v>
      </c>
      <c r="C40" s="345">
        <f>(C4+C6)*C9</f>
        <v>0</v>
      </c>
      <c r="D40" s="554"/>
      <c r="E40" s="1011">
        <f t="shared" si="0"/>
        <v>0</v>
      </c>
      <c r="F40" s="982"/>
    </row>
    <row r="41" spans="2:6">
      <c r="B41" s="344" t="s">
        <v>967</v>
      </c>
      <c r="C41" s="345">
        <f>(C8+C9)*C4</f>
        <v>4</v>
      </c>
      <c r="D41" s="554"/>
      <c r="E41" s="1011">
        <f t="shared" si="0"/>
        <v>0</v>
      </c>
      <c r="F41" s="982"/>
    </row>
    <row r="42" spans="2:6">
      <c r="B42" s="344" t="s">
        <v>968</v>
      </c>
      <c r="C42" s="345">
        <f>(C8+C9)*C4</f>
        <v>4</v>
      </c>
      <c r="D42" s="554"/>
      <c r="E42" s="1011">
        <f t="shared" si="0"/>
        <v>0</v>
      </c>
      <c r="F42" s="982"/>
    </row>
    <row r="43" spans="2:6">
      <c r="B43" s="344" t="s">
        <v>975</v>
      </c>
      <c r="C43" s="345">
        <f>C8*2</f>
        <v>2</v>
      </c>
      <c r="D43" s="554"/>
      <c r="E43" s="1011">
        <f t="shared" si="0"/>
        <v>0</v>
      </c>
      <c r="F43" s="982"/>
    </row>
    <row r="44" spans="2:6">
      <c r="B44" s="349" t="s">
        <v>893</v>
      </c>
      <c r="C44" s="350">
        <f>(C8+C9)*2</f>
        <v>2</v>
      </c>
      <c r="D44" s="554"/>
      <c r="E44" s="1011">
        <f t="shared" si="0"/>
        <v>0</v>
      </c>
      <c r="F44" s="982"/>
    </row>
    <row r="45" spans="2:6">
      <c r="B45" s="349" t="s">
        <v>789</v>
      </c>
      <c r="C45" s="350">
        <f>(C8+C9)*8</f>
        <v>8</v>
      </c>
      <c r="D45" s="554"/>
      <c r="E45" s="1011">
        <f t="shared" si="0"/>
        <v>0</v>
      </c>
      <c r="F45" s="982"/>
    </row>
    <row r="46" spans="2:6">
      <c r="B46" s="349" t="s">
        <v>989</v>
      </c>
      <c r="C46" s="350">
        <f>(C4+C6)*(C8+C9)*C15</f>
        <v>5</v>
      </c>
      <c r="D46" s="554"/>
      <c r="E46" s="1011">
        <f t="shared" si="0"/>
        <v>0</v>
      </c>
      <c r="F46" s="982"/>
    </row>
    <row r="47" spans="2:6">
      <c r="B47" s="349" t="s">
        <v>364</v>
      </c>
      <c r="C47" s="350">
        <f>(C4+C6)*(C8+C9)*C13</f>
        <v>0</v>
      </c>
      <c r="D47" s="554"/>
      <c r="E47" s="1011">
        <f t="shared" si="0"/>
        <v>0</v>
      </c>
      <c r="F47" s="982"/>
    </row>
    <row r="48" spans="2:6">
      <c r="B48" s="349" t="s">
        <v>365</v>
      </c>
      <c r="C48" s="350">
        <f>(C4+C6)*(C8+C9)*C14</f>
        <v>0</v>
      </c>
      <c r="D48" s="554"/>
      <c r="E48" s="1011">
        <f t="shared" si="0"/>
        <v>0</v>
      </c>
      <c r="F48" s="982"/>
    </row>
    <row r="49" spans="2:6">
      <c r="B49" s="349" t="s">
        <v>990</v>
      </c>
      <c r="C49" s="350">
        <f>(C4+C6)*(C8+C9)*C16</f>
        <v>0</v>
      </c>
      <c r="D49" s="554"/>
      <c r="E49" s="1011">
        <f t="shared" si="0"/>
        <v>0</v>
      </c>
      <c r="F49" s="982"/>
    </row>
    <row r="50" spans="2:6" ht="12" thickBot="1">
      <c r="B50" s="986" t="s">
        <v>952</v>
      </c>
      <c r="C50" s="405">
        <f>C8*2</f>
        <v>2</v>
      </c>
      <c r="D50" s="593"/>
      <c r="E50" s="1011">
        <f t="shared" si="0"/>
        <v>0</v>
      </c>
      <c r="F50" s="982"/>
    </row>
    <row r="51" spans="2:6" ht="13.5" thickBot="1">
      <c r="B51" s="319"/>
      <c r="C51" s="319"/>
      <c r="D51" s="387" t="s">
        <v>9</v>
      </c>
      <c r="E51" s="988">
        <f>SUMIF(E19:E50,"&gt;0",E19:E50)</f>
        <v>0</v>
      </c>
      <c r="F51" s="982"/>
    </row>
    <row r="52" spans="2:6">
      <c r="F52" s="982"/>
    </row>
    <row r="55" spans="2:6" ht="15.75" thickBot="1">
      <c r="B55" s="993" t="s">
        <v>957</v>
      </c>
    </row>
    <row r="56" spans="2:6" ht="12.75">
      <c r="B56" s="574" t="s">
        <v>489</v>
      </c>
      <c r="C56" s="1004">
        <f>IF(C11=1,C8+C9,0)</f>
        <v>0</v>
      </c>
      <c r="D56" s="989"/>
      <c r="E56" s="577">
        <f t="shared" ref="E56:E61" si="1">C56*D56</f>
        <v>0</v>
      </c>
    </row>
    <row r="57" spans="2:6" ht="12.75">
      <c r="B57" s="421" t="s">
        <v>486</v>
      </c>
      <c r="C57" s="1005">
        <f>IF(C11=6,C8+C9,0)</f>
        <v>0</v>
      </c>
      <c r="D57" s="614"/>
      <c r="E57" s="326">
        <f t="shared" si="1"/>
        <v>0</v>
      </c>
    </row>
    <row r="58" spans="2:6" ht="12.75">
      <c r="B58" s="421" t="s">
        <v>591</v>
      </c>
      <c r="C58" s="1005">
        <f>IF(C11=5,C8+C9,0)</f>
        <v>0</v>
      </c>
      <c r="D58" s="614"/>
      <c r="E58" s="326">
        <f t="shared" si="1"/>
        <v>0</v>
      </c>
    </row>
    <row r="59" spans="2:6" ht="12.75">
      <c r="B59" s="421" t="s">
        <v>487</v>
      </c>
      <c r="C59" s="1005">
        <f>IF(C11=2,C8+C9,0)</f>
        <v>0</v>
      </c>
      <c r="D59" s="614"/>
      <c r="E59" s="326">
        <f t="shared" si="1"/>
        <v>0</v>
      </c>
    </row>
    <row r="60" spans="2:6" ht="12.75">
      <c r="B60" s="421" t="s">
        <v>488</v>
      </c>
      <c r="C60" s="1005">
        <f>IF(C11=3,C8+C9,0)</f>
        <v>0</v>
      </c>
      <c r="D60" s="614"/>
      <c r="E60" s="326">
        <f t="shared" si="1"/>
        <v>0</v>
      </c>
    </row>
    <row r="61" spans="2:6" ht="13.5" thickBot="1">
      <c r="B61" s="990" t="s">
        <v>494</v>
      </c>
      <c r="C61" s="1006">
        <f>IF(C11=4,C8+C9,0)</f>
        <v>1</v>
      </c>
      <c r="D61" s="991"/>
      <c r="E61" s="336">
        <f t="shared" si="1"/>
        <v>0</v>
      </c>
    </row>
    <row r="62" spans="2:6" ht="13.5" thickBot="1">
      <c r="D62" s="992" t="s">
        <v>9</v>
      </c>
      <c r="E62" s="998">
        <f>SUMIF(E56:E61,"&gt;0",E56:E61)</f>
        <v>0</v>
      </c>
    </row>
  </sheetData>
  <sheetProtection algorithmName="SHA-512" hashValue="Nm0egOaCyHtOHtlzl6eAYZqg+jW81GpaeWZs7jRkQ7fhQ7a+p5aK3BFYMwGCzRXDIZuictXNtiCeRvFVG2gAaQ==" saltValue="v3Dc0cjL384EMSGiLv9h/g==" spinCount="100000" sheet="1" objects="1" scenarios="1"/>
  <mergeCells count="7">
    <mergeCell ref="B3:E3"/>
    <mergeCell ref="D4:F7"/>
    <mergeCell ref="D8:F9"/>
    <mergeCell ref="F13:F16"/>
    <mergeCell ref="B17:E17"/>
    <mergeCell ref="D11:F11"/>
    <mergeCell ref="D12:E12"/>
  </mergeCells>
  <conditionalFormatting sqref="C50:E50 E19:E21 E46:E49 C22:E33 C39:E45">
    <cfRule type="cellIs" dxfId="72" priority="28" operator="greaterThan">
      <formula>0</formula>
    </cfRule>
  </conditionalFormatting>
  <conditionalFormatting sqref="E51">
    <cfRule type="cellIs" dxfId="71" priority="27" operator="greaterThan">
      <formula>0</formula>
    </cfRule>
  </conditionalFormatting>
  <conditionalFormatting sqref="C19:E21">
    <cfRule type="cellIs" dxfId="70" priority="25" operator="greaterThan">
      <formula>0</formula>
    </cfRule>
  </conditionalFormatting>
  <conditionalFormatting sqref="C46:E49">
    <cfRule type="cellIs" dxfId="69" priority="24" operator="greaterThan">
      <formula>0</formula>
    </cfRule>
  </conditionalFormatting>
  <conditionalFormatting sqref="D56:D61">
    <cfRule type="cellIs" dxfId="68" priority="15" operator="greaterThan">
      <formula>0</formula>
    </cfRule>
    <cfRule type="cellIs" dxfId="67" priority="16" operator="greaterThan">
      <formula>0</formula>
    </cfRule>
  </conditionalFormatting>
  <conditionalFormatting sqref="C56:C57 C59:C61">
    <cfRule type="cellIs" dxfId="66" priority="21" operator="equal">
      <formula>"ДА"</formula>
    </cfRule>
    <cfRule type="cellIs" dxfId="65" priority="22" operator="equal">
      <formula>"НЕТ"</formula>
    </cfRule>
  </conditionalFormatting>
  <conditionalFormatting sqref="C56:C57 C59:C61">
    <cfRule type="colorScale" priority="2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8">
    <cfRule type="cellIs" dxfId="64" priority="18" operator="equal">
      <formula>"ДА"</formula>
    </cfRule>
    <cfRule type="cellIs" dxfId="63" priority="19" operator="equal">
      <formula>"НЕТ"</formula>
    </cfRule>
  </conditionalFormatting>
  <conditionalFormatting sqref="C58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56:E61">
    <cfRule type="cellIs" dxfId="62" priority="17" operator="greaterThan">
      <formula>0</formula>
    </cfRule>
  </conditionalFormatting>
  <conditionalFormatting sqref="C56:C61">
    <cfRule type="cellIs" dxfId="61" priority="13" operator="equal">
      <formula>"НЕТ"</formula>
    </cfRule>
    <cfRule type="cellIs" dxfId="60" priority="14" operator="equal">
      <formula>"ДА"</formula>
    </cfRule>
  </conditionalFormatting>
  <conditionalFormatting sqref="C56:C61">
    <cfRule type="cellIs" dxfId="59" priority="12" operator="equal">
      <formula>"ДА"</formula>
    </cfRule>
  </conditionalFormatting>
  <conditionalFormatting sqref="C58">
    <cfRule type="cellIs" dxfId="58" priority="9" operator="equal">
      <formula>"ДА"</formula>
    </cfRule>
    <cfRule type="cellIs" dxfId="57" priority="10" operator="equal">
      <formula>"НЕТ"</formula>
    </cfRule>
  </conditionalFormatting>
  <conditionalFormatting sqref="C58">
    <cfRule type="colorScale" priority="1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56:E61">
    <cfRule type="cellIs" dxfId="56" priority="3" operator="greaterThan">
      <formula>0</formula>
    </cfRule>
    <cfRule type="cellIs" dxfId="55" priority="4" operator="greaterThan">
      <formula>0</formula>
    </cfRule>
    <cfRule type="cellIs" dxfId="54" priority="8" operator="greaterThan">
      <formula>0</formula>
    </cfRule>
  </conditionalFormatting>
  <conditionalFormatting sqref="C58">
    <cfRule type="cellIs" dxfId="53" priority="5" operator="equal">
      <formula>"ДА"</formula>
    </cfRule>
    <cfRule type="cellIs" dxfId="52" priority="6" operator="equal">
      <formula>"НЕТ"</formula>
    </cfRule>
  </conditionalFormatting>
  <conditionalFormatting sqref="C58">
    <cfRule type="colorScale" priority="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4:C38">
    <cfRule type="cellIs" dxfId="51" priority="1" operator="greaterThan">
      <formula>0</formula>
    </cfRule>
  </conditionalFormatting>
  <conditionalFormatting sqref="D34:E38">
    <cfRule type="cellIs" dxfId="50" priority="2" operator="greaterThan">
      <formula>0</formula>
    </cfRule>
  </conditionalFormatting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4"/>
  <sheetViews>
    <sheetView workbookViewId="0">
      <pane xSplit="1" ySplit="17" topLeftCell="B18" activePane="bottomRight" state="frozen"/>
      <selection pane="topRight" activeCell="B1" sqref="B1"/>
      <selection pane="bottomLeft" activeCell="A18" sqref="A18"/>
      <selection pane="bottomRight" activeCell="F29" sqref="F29"/>
    </sheetView>
  </sheetViews>
  <sheetFormatPr defaultRowHeight="11.25"/>
  <cols>
    <col min="1" max="1" width="9.5" customWidth="1"/>
    <col min="2" max="2" width="53.1640625" customWidth="1"/>
    <col min="4" max="4" width="12.5" customWidth="1"/>
    <col min="5" max="5" width="11.5" customWidth="1"/>
    <col min="6" max="6" width="32.5" customWidth="1"/>
  </cols>
  <sheetData>
    <row r="3" spans="2:6" ht="27" thickBot="1">
      <c r="B3" s="1168"/>
      <c r="C3" s="1169"/>
      <c r="D3" s="1169"/>
      <c r="E3" s="1169"/>
      <c r="F3" s="951"/>
    </row>
    <row r="4" spans="2:6">
      <c r="B4" s="967" t="s">
        <v>976</v>
      </c>
      <c r="C4" s="968">
        <v>4</v>
      </c>
      <c r="D4" s="1321" t="s">
        <v>595</v>
      </c>
      <c r="E4" s="1321"/>
      <c r="F4" s="1322"/>
    </row>
    <row r="5" spans="2:6" ht="12" thickBot="1">
      <c r="B5" s="969" t="s">
        <v>1</v>
      </c>
      <c r="C5" s="970">
        <v>2</v>
      </c>
      <c r="D5" s="1323"/>
      <c r="E5" s="1323"/>
      <c r="F5" s="1324"/>
    </row>
    <row r="6" spans="2:6" ht="12" thickBot="1">
      <c r="B6" s="1014" t="s">
        <v>977</v>
      </c>
      <c r="C6" s="971">
        <v>3</v>
      </c>
      <c r="D6" s="1325" t="s">
        <v>978</v>
      </c>
      <c r="E6" s="1325"/>
      <c r="F6" s="1326"/>
    </row>
    <row r="7" spans="2:6" ht="12" thickBot="1">
      <c r="B7" s="1014" t="s">
        <v>510</v>
      </c>
      <c r="C7" s="972">
        <v>0</v>
      </c>
      <c r="D7" s="1327"/>
      <c r="E7" s="1327"/>
      <c r="F7" s="1328"/>
    </row>
    <row r="8" spans="2:6" ht="12" thickBot="1">
      <c r="B8" s="1015" t="s">
        <v>979</v>
      </c>
      <c r="C8" s="1016">
        <v>1</v>
      </c>
      <c r="D8" s="1339" t="s">
        <v>980</v>
      </c>
      <c r="E8" s="1340"/>
      <c r="F8" s="1341"/>
    </row>
    <row r="9" spans="2:6" ht="12" thickBot="1">
      <c r="B9" s="1007" t="s">
        <v>959</v>
      </c>
      <c r="C9" s="971">
        <v>1</v>
      </c>
      <c r="D9" s="513" t="s">
        <v>960</v>
      </c>
      <c r="E9" s="367" t="s">
        <v>961</v>
      </c>
      <c r="F9" s="1008"/>
    </row>
    <row r="10" spans="2:6" ht="24.75" customHeight="1">
      <c r="B10" s="820" t="s">
        <v>589</v>
      </c>
      <c r="C10" s="837">
        <v>2</v>
      </c>
      <c r="D10" s="1331" t="s">
        <v>958</v>
      </c>
      <c r="E10" s="1332"/>
      <c r="F10" s="1333"/>
    </row>
    <row r="11" spans="2:6" ht="12" thickBot="1">
      <c r="B11" s="821" t="s">
        <v>277</v>
      </c>
      <c r="C11" s="836">
        <v>1</v>
      </c>
      <c r="D11" s="1165" t="s">
        <v>30</v>
      </c>
      <c r="E11" s="1166"/>
      <c r="F11" s="974"/>
    </row>
    <row r="12" spans="2:6">
      <c r="B12" s="1017" t="s">
        <v>361</v>
      </c>
      <c r="C12" s="1018">
        <v>0</v>
      </c>
      <c r="D12" s="513" t="s">
        <v>287</v>
      </c>
      <c r="E12" s="367" t="s">
        <v>255</v>
      </c>
      <c r="F12" s="1342" t="s">
        <v>597</v>
      </c>
    </row>
    <row r="13" spans="2:6">
      <c r="B13" s="1019" t="s">
        <v>362</v>
      </c>
      <c r="C13" s="1020">
        <v>0</v>
      </c>
      <c r="D13" s="514" t="s">
        <v>287</v>
      </c>
      <c r="E13" s="372" t="s">
        <v>255</v>
      </c>
      <c r="F13" s="1343"/>
    </row>
    <row r="14" spans="2:6">
      <c r="B14" s="1021" t="s">
        <v>466</v>
      </c>
      <c r="C14" s="1022">
        <v>1</v>
      </c>
      <c r="D14" s="370" t="s">
        <v>287</v>
      </c>
      <c r="E14" s="369" t="s">
        <v>255</v>
      </c>
      <c r="F14" s="1343"/>
    </row>
    <row r="15" spans="2:6" ht="12" thickBot="1">
      <c r="B15" s="1023" t="s">
        <v>984</v>
      </c>
      <c r="C15" s="1024">
        <v>0</v>
      </c>
      <c r="D15" s="524" t="s">
        <v>287</v>
      </c>
      <c r="E15" s="374" t="s">
        <v>255</v>
      </c>
      <c r="F15" s="1344"/>
    </row>
    <row r="16" spans="2:6" ht="12" thickBot="1">
      <c r="B16" s="1263"/>
      <c r="C16" s="1263"/>
      <c r="D16" s="1263"/>
      <c r="E16" s="1263"/>
      <c r="F16" s="952"/>
    </row>
    <row r="17" spans="2:6" ht="13.5" thickBot="1">
      <c r="B17" s="1035" t="s">
        <v>5</v>
      </c>
      <c r="C17" s="1034" t="s">
        <v>0</v>
      </c>
      <c r="D17" s="977" t="s">
        <v>4</v>
      </c>
      <c r="E17" s="978" t="s">
        <v>8</v>
      </c>
      <c r="F17" s="979"/>
    </row>
    <row r="18" spans="2:6">
      <c r="B18" s="1025" t="s">
        <v>985</v>
      </c>
      <c r="C18" s="981">
        <f>C14*(C6+C7)*C8</f>
        <v>3</v>
      </c>
      <c r="D18" s="461"/>
      <c r="E18" s="1011">
        <f t="shared" ref="E18:E53" si="0">D18*C18</f>
        <v>0</v>
      </c>
      <c r="F18" s="982"/>
    </row>
    <row r="19" spans="2:6">
      <c r="B19" s="344" t="s">
        <v>117</v>
      </c>
      <c r="C19" s="1026">
        <f>(C12+C13)*2*(C6+C7)*C8</f>
        <v>0</v>
      </c>
      <c r="D19" s="619"/>
      <c r="E19" s="1011">
        <f t="shared" si="0"/>
        <v>0</v>
      </c>
      <c r="F19" s="982"/>
    </row>
    <row r="20" spans="2:6">
      <c r="B20" s="344" t="s">
        <v>986</v>
      </c>
      <c r="C20" s="983">
        <f>C15*(C6+C7)*C8</f>
        <v>0</v>
      </c>
      <c r="D20" s="554"/>
      <c r="E20" s="1011">
        <f t="shared" si="0"/>
        <v>0</v>
      </c>
      <c r="F20" s="982"/>
    </row>
    <row r="21" spans="2:6">
      <c r="B21" s="349" t="s">
        <v>962</v>
      </c>
      <c r="C21" s="984">
        <f>IF(AND(C6+C7&gt;0,C4&lt;=1),(C8)*2,IF(AND(C6+C7&gt;0,C4&lt;=1.5),(C8)*3,IF(AND(C6+C7&gt;0,C4&lt;=2),(C8)*4,IF(AND(C6+C7&gt;0,C4&lt;=2.5),(C8)*5,IF(AND(C6+C7&gt;0,C4&lt;=3),(C8)*6,IF(AND(C6+C7&gt;0,C4&lt;=3.5),(C8)*7,IF(AND(C6+C7&gt;0,C4&lt;=4),(C8)*8,IF(AND(C6+C7&gt;0,C4&lt;=4.5),(C8)*9,IF(AND(C6+C7&gt;0,C4&lt;=5),(C8)*9,IF(AND(C6+C7&gt;0,C4&lt;=5.5),(C8)*10,IF(AND(C6+C7&gt;0,C4&lt;=6),(C8)*11,0)))))))))))</f>
        <v>8</v>
      </c>
      <c r="D21" s="554"/>
      <c r="E21" s="1011">
        <f t="shared" si="0"/>
        <v>0</v>
      </c>
      <c r="F21" s="982"/>
    </row>
    <row r="22" spans="2:6">
      <c r="B22" s="349" t="s">
        <v>963</v>
      </c>
      <c r="C22" s="984">
        <f>IF(AND(C6+C7&gt;0,C4&lt;=1,C9=1),(C8)*2,IF(AND(C6+C7&gt;0,C4&lt;=1.5,C9=1),(C8)*3,IF(AND(C6+C7&gt;0,C4&lt;=2,C9=1),(C8)*4,IF(AND(C6+C7&gt;0,C4&lt;=2.5,C9=1),(C8)*5,IF(AND(C6+C7&gt;0,C4&lt;=3,C9=1),(C8)*6,IF(AND(C6+C7&gt;0,C4&lt;=3.5,C9=1),(C8)*7,IF(AND(C6+C7&gt;0,C4&lt;=4,C9=1),(C8)*8,IF(AND(C6+C7&gt;0,C4&lt;=4.5,C9=1),(C8)*9,IF(AND(C6+C7&gt;0,C4&lt;=5,C9=1),(C8)*9,IF(AND(C6+C7&gt;0,C4&lt;=5.5,C9=1),(C8)*10,IF(AND(C6+C7&gt;0,C4&lt;=6,C9=1),(C8)*11,0)))))))))))</f>
        <v>8</v>
      </c>
      <c r="D22" s="554"/>
      <c r="E22" s="1011">
        <f t="shared" si="0"/>
        <v>0</v>
      </c>
      <c r="F22" s="982"/>
    </row>
    <row r="23" spans="2:6">
      <c r="B23" s="349" t="s">
        <v>964</v>
      </c>
      <c r="C23" s="984">
        <f>IF(C4&gt;0,(C8),0)</f>
        <v>1</v>
      </c>
      <c r="D23" s="554"/>
      <c r="E23" s="1011">
        <f t="shared" si="0"/>
        <v>0</v>
      </c>
      <c r="F23" s="982"/>
    </row>
    <row r="24" spans="2:6">
      <c r="B24" s="349" t="s">
        <v>965</v>
      </c>
      <c r="C24" s="984">
        <f>IF(C4&gt;0,(C8),0)</f>
        <v>1</v>
      </c>
      <c r="D24" s="554"/>
      <c r="E24" s="1011">
        <f t="shared" si="0"/>
        <v>0</v>
      </c>
      <c r="F24" s="982"/>
    </row>
    <row r="25" spans="2:6">
      <c r="B25" s="349" t="s">
        <v>981</v>
      </c>
      <c r="C25" s="984">
        <f>(C6-1)*C8*2</f>
        <v>4</v>
      </c>
      <c r="D25" s="554"/>
      <c r="E25" s="1011">
        <f t="shared" si="0"/>
        <v>0</v>
      </c>
      <c r="F25" s="982"/>
    </row>
    <row r="26" spans="2:6">
      <c r="B26" s="349" t="s">
        <v>982</v>
      </c>
      <c r="C26" s="984">
        <f>(C7-1)*C8*2</f>
        <v>-2</v>
      </c>
      <c r="D26" s="554"/>
      <c r="E26" s="1011">
        <f t="shared" si="0"/>
        <v>0</v>
      </c>
      <c r="F26" s="982"/>
    </row>
    <row r="27" spans="2:6">
      <c r="B27" s="349" t="s">
        <v>972</v>
      </c>
      <c r="C27" s="984">
        <f>(C6+C7-1)*C8</f>
        <v>2</v>
      </c>
      <c r="D27" s="554"/>
      <c r="E27" s="1011">
        <f t="shared" si="0"/>
        <v>0</v>
      </c>
      <c r="F27" s="982"/>
    </row>
    <row r="28" spans="2:6">
      <c r="B28" s="349" t="s">
        <v>983</v>
      </c>
      <c r="C28" s="984">
        <f>(C6+C7-1)*C8</f>
        <v>2</v>
      </c>
      <c r="D28" s="554"/>
      <c r="E28" s="1011">
        <f t="shared" si="0"/>
        <v>0</v>
      </c>
      <c r="F28" s="982"/>
    </row>
    <row r="29" spans="2:6">
      <c r="B29" s="344" t="s">
        <v>966</v>
      </c>
      <c r="C29" s="985">
        <f>C8</f>
        <v>1</v>
      </c>
      <c r="D29" s="554"/>
      <c r="E29" s="1011">
        <f t="shared" si="0"/>
        <v>0</v>
      </c>
      <c r="F29" s="982"/>
    </row>
    <row r="30" spans="2:6">
      <c r="B30" s="349" t="s">
        <v>119</v>
      </c>
      <c r="C30" s="983">
        <f>IF(C7&gt;0,C4*C8+(C4+C12*C8),0)</f>
        <v>0</v>
      </c>
      <c r="D30" s="554"/>
      <c r="E30" s="1011">
        <f t="shared" si="0"/>
        <v>0</v>
      </c>
      <c r="F30" s="982"/>
    </row>
    <row r="31" spans="2:6">
      <c r="B31" s="344" t="s">
        <v>987</v>
      </c>
      <c r="C31" s="983">
        <f>C13*C4*C8*2</f>
        <v>0</v>
      </c>
      <c r="D31" s="554"/>
      <c r="E31" s="1011">
        <f t="shared" si="0"/>
        <v>0</v>
      </c>
      <c r="F31" s="982"/>
    </row>
    <row r="32" spans="2:6">
      <c r="B32" s="349" t="s">
        <v>988</v>
      </c>
      <c r="C32" s="983">
        <f>C14*C4*C8</f>
        <v>4</v>
      </c>
      <c r="D32" s="554"/>
      <c r="E32" s="1011">
        <f t="shared" si="0"/>
        <v>0</v>
      </c>
      <c r="F32" s="982"/>
    </row>
    <row r="33" spans="2:6">
      <c r="B33" s="349" t="s">
        <v>945</v>
      </c>
      <c r="C33" s="983">
        <f>C4*C8+(C4*C8*C15)</f>
        <v>4</v>
      </c>
      <c r="D33" s="554"/>
      <c r="E33" s="1011">
        <f t="shared" si="0"/>
        <v>0</v>
      </c>
      <c r="F33" s="982"/>
    </row>
    <row r="34" spans="2:6">
      <c r="B34" s="344" t="s">
        <v>946</v>
      </c>
      <c r="C34" s="983">
        <f>IF(C6&gt;0,C4*C8,0)</f>
        <v>4</v>
      </c>
      <c r="D34" s="554"/>
      <c r="E34" s="1011">
        <f t="shared" si="0"/>
        <v>0</v>
      </c>
      <c r="F34" s="982"/>
    </row>
    <row r="35" spans="2:6">
      <c r="B35" s="344" t="s">
        <v>947</v>
      </c>
      <c r="C35" s="984">
        <f>IF(C6&gt;0,C4*C8,0)</f>
        <v>4</v>
      </c>
      <c r="D35" s="554"/>
      <c r="E35" s="1011">
        <f t="shared" si="0"/>
        <v>0</v>
      </c>
      <c r="F35" s="982"/>
    </row>
    <row r="36" spans="2:6">
      <c r="B36" s="344" t="s">
        <v>948</v>
      </c>
      <c r="C36" s="983">
        <f>IF(C7&gt;0,C4*C8,0)</f>
        <v>0</v>
      </c>
      <c r="D36" s="554"/>
      <c r="E36" s="1011">
        <f t="shared" si="0"/>
        <v>0</v>
      </c>
      <c r="F36" s="982"/>
    </row>
    <row r="37" spans="2:6">
      <c r="B37" s="349" t="s">
        <v>953</v>
      </c>
      <c r="C37" s="350">
        <f>IF(C12&gt;0,C12,0)</f>
        <v>0</v>
      </c>
      <c r="D37" s="554"/>
      <c r="E37" s="1011">
        <f t="shared" si="0"/>
        <v>0</v>
      </c>
      <c r="F37" s="982"/>
    </row>
    <row r="38" spans="2:6">
      <c r="B38" s="349" t="s">
        <v>954</v>
      </c>
      <c r="C38" s="350">
        <f>IF(C11&gt;0,C11,0)</f>
        <v>1</v>
      </c>
      <c r="D38" s="554"/>
      <c r="E38" s="1011">
        <f t="shared" si="0"/>
        <v>0</v>
      </c>
      <c r="F38" s="982"/>
    </row>
    <row r="39" spans="2:6">
      <c r="B39" s="349" t="s">
        <v>956</v>
      </c>
      <c r="C39" s="350">
        <f>C11+C12</f>
        <v>1</v>
      </c>
      <c r="D39" s="554"/>
      <c r="E39" s="1011">
        <f t="shared" si="0"/>
        <v>0</v>
      </c>
      <c r="F39" s="982"/>
    </row>
    <row r="40" spans="2:6">
      <c r="B40" s="349" t="s">
        <v>955</v>
      </c>
      <c r="C40" s="350">
        <f>IF(C12&gt;0,C12,0)</f>
        <v>0</v>
      </c>
      <c r="D40" s="554"/>
      <c r="E40" s="1011">
        <f t="shared" si="0"/>
        <v>0</v>
      </c>
      <c r="F40" s="982"/>
    </row>
    <row r="41" spans="2:6" ht="12.75">
      <c r="B41" s="997" t="s">
        <v>145</v>
      </c>
      <c r="C41" s="350">
        <f>C11</f>
        <v>1</v>
      </c>
      <c r="D41" s="554"/>
      <c r="E41" s="1011">
        <f t="shared" si="0"/>
        <v>0</v>
      </c>
      <c r="F41" s="982"/>
    </row>
    <row r="42" spans="2:6">
      <c r="B42" s="344" t="s">
        <v>967</v>
      </c>
      <c r="C42" s="983">
        <f>C8*C4</f>
        <v>4</v>
      </c>
      <c r="D42" s="554"/>
      <c r="E42" s="1011">
        <f t="shared" si="0"/>
        <v>0</v>
      </c>
      <c r="F42" s="982"/>
    </row>
    <row r="43" spans="2:6">
      <c r="B43" s="344" t="s">
        <v>968</v>
      </c>
      <c r="C43" s="983">
        <f>C8*C4</f>
        <v>4</v>
      </c>
      <c r="D43" s="554"/>
      <c r="E43" s="1011">
        <f t="shared" si="0"/>
        <v>0</v>
      </c>
      <c r="F43" s="982"/>
    </row>
    <row r="44" spans="2:6">
      <c r="B44" s="344" t="s">
        <v>950</v>
      </c>
      <c r="C44" s="983">
        <f>IF(C6&gt;0,C4*C8,0)</f>
        <v>4</v>
      </c>
      <c r="D44" s="554"/>
      <c r="E44" s="1011">
        <f t="shared" si="0"/>
        <v>0</v>
      </c>
      <c r="F44" s="982"/>
    </row>
    <row r="45" spans="2:6">
      <c r="B45" s="349" t="s">
        <v>951</v>
      </c>
      <c r="C45" s="984">
        <f>IF(C7&gt;0,C4*C8,0)</f>
        <v>0</v>
      </c>
      <c r="D45" s="554"/>
      <c r="E45" s="1011">
        <f t="shared" si="0"/>
        <v>0</v>
      </c>
      <c r="F45" s="982"/>
    </row>
    <row r="46" spans="2:6">
      <c r="B46" s="349" t="s">
        <v>893</v>
      </c>
      <c r="C46" s="984">
        <f>(C6+C7-1)*2*C8</f>
        <v>4</v>
      </c>
      <c r="D46" s="554"/>
      <c r="E46" s="1011">
        <f t="shared" si="0"/>
        <v>0</v>
      </c>
      <c r="F46" s="982"/>
    </row>
    <row r="47" spans="2:6">
      <c r="B47" s="349" t="s">
        <v>789</v>
      </c>
      <c r="C47" s="984">
        <f>C8*8</f>
        <v>8</v>
      </c>
      <c r="D47" s="554"/>
      <c r="E47" s="1011">
        <f t="shared" si="0"/>
        <v>0</v>
      </c>
      <c r="F47" s="982"/>
    </row>
    <row r="48" spans="2:6">
      <c r="B48" s="349" t="s">
        <v>969</v>
      </c>
      <c r="C48" s="984">
        <f>C10*C8</f>
        <v>2</v>
      </c>
      <c r="D48" s="554"/>
      <c r="E48" s="1011">
        <f t="shared" si="0"/>
        <v>0</v>
      </c>
      <c r="F48" s="982"/>
    </row>
    <row r="49" spans="2:6">
      <c r="B49" s="349" t="s">
        <v>989</v>
      </c>
      <c r="C49" s="984">
        <f>C4*C8*C14</f>
        <v>4</v>
      </c>
      <c r="D49" s="554"/>
      <c r="E49" s="1011">
        <f t="shared" si="0"/>
        <v>0</v>
      </c>
      <c r="F49" s="982"/>
    </row>
    <row r="50" spans="2:6">
      <c r="B50" s="349" t="s">
        <v>364</v>
      </c>
      <c r="C50" s="984">
        <f>C4*C8*C12</f>
        <v>0</v>
      </c>
      <c r="D50" s="554"/>
      <c r="E50" s="1011">
        <f t="shared" si="0"/>
        <v>0</v>
      </c>
      <c r="F50" s="982"/>
    </row>
    <row r="51" spans="2:6">
      <c r="B51" s="349" t="s">
        <v>365</v>
      </c>
      <c r="C51" s="984">
        <f>C4*C8*C13</f>
        <v>0</v>
      </c>
      <c r="D51" s="554"/>
      <c r="E51" s="1011">
        <f t="shared" si="0"/>
        <v>0</v>
      </c>
      <c r="F51" s="982"/>
    </row>
    <row r="52" spans="2:6">
      <c r="B52" s="349" t="s">
        <v>990</v>
      </c>
      <c r="C52" s="984">
        <f>C4*C8*C15</f>
        <v>0</v>
      </c>
      <c r="D52" s="554"/>
      <c r="E52" s="1011">
        <f t="shared" si="0"/>
        <v>0</v>
      </c>
    </row>
    <row r="53" spans="2:6" ht="12" thickBot="1">
      <c r="B53" s="986" t="s">
        <v>952</v>
      </c>
      <c r="C53" s="987">
        <f>IF(C6&gt;1,C8,0)</f>
        <v>1</v>
      </c>
      <c r="D53" s="593"/>
      <c r="E53" s="1011">
        <f t="shared" si="0"/>
        <v>0</v>
      </c>
    </row>
    <row r="54" spans="2:6" ht="13.5" thickBot="1">
      <c r="B54" s="319"/>
      <c r="C54" s="319"/>
      <c r="D54" s="387" t="s">
        <v>9</v>
      </c>
      <c r="E54" s="988">
        <f>SUMIF(E18:E53,"&gt;0",E18:E53)</f>
        <v>0</v>
      </c>
    </row>
    <row r="57" spans="2:6" ht="15.75" thickBot="1">
      <c r="B57" s="993" t="s">
        <v>957</v>
      </c>
    </row>
    <row r="58" spans="2:6" ht="12.75">
      <c r="B58" s="574" t="s">
        <v>489</v>
      </c>
      <c r="C58" s="1004">
        <f>IF(C10=1,C8,0)</f>
        <v>0</v>
      </c>
      <c r="D58" s="989"/>
      <c r="E58" s="577">
        <f t="shared" ref="E58:E63" si="1">C58*D58</f>
        <v>0</v>
      </c>
    </row>
    <row r="59" spans="2:6" ht="12.75">
      <c r="B59" s="421" t="s">
        <v>486</v>
      </c>
      <c r="C59" s="1005">
        <f>IF(C10=6,C8,0)</f>
        <v>0</v>
      </c>
      <c r="D59" s="614"/>
      <c r="E59" s="326">
        <f t="shared" si="1"/>
        <v>0</v>
      </c>
    </row>
    <row r="60" spans="2:6" ht="12.75">
      <c r="B60" s="421" t="s">
        <v>591</v>
      </c>
      <c r="C60" s="1005">
        <f>IF(C10=5,C8,0)</f>
        <v>0</v>
      </c>
      <c r="D60" s="614"/>
      <c r="E60" s="326">
        <f t="shared" si="1"/>
        <v>0</v>
      </c>
    </row>
    <row r="61" spans="2:6" ht="12.75">
      <c r="B61" s="421" t="s">
        <v>487</v>
      </c>
      <c r="C61" s="1005">
        <f>IF(C10=2,C8,0)</f>
        <v>1</v>
      </c>
      <c r="D61" s="614"/>
      <c r="E61" s="326">
        <f t="shared" si="1"/>
        <v>0</v>
      </c>
    </row>
    <row r="62" spans="2:6" ht="12.75">
      <c r="B62" s="421" t="s">
        <v>488</v>
      </c>
      <c r="C62" s="1005">
        <f>IF(C10=3,C8,0)</f>
        <v>0</v>
      </c>
      <c r="D62" s="614"/>
      <c r="E62" s="326">
        <f t="shared" si="1"/>
        <v>0</v>
      </c>
    </row>
    <row r="63" spans="2:6" ht="13.5" thickBot="1">
      <c r="B63" s="990" t="s">
        <v>494</v>
      </c>
      <c r="C63" s="1006">
        <f>IF(C10=4,C8,0)</f>
        <v>0</v>
      </c>
      <c r="D63" s="991"/>
      <c r="E63" s="336">
        <f t="shared" si="1"/>
        <v>0</v>
      </c>
    </row>
    <row r="64" spans="2:6" ht="13.5" thickBot="1">
      <c r="D64" s="992" t="s">
        <v>9</v>
      </c>
      <c r="E64" s="998">
        <f>SUMIF(E58:E63,"&gt;0",E58:E63)</f>
        <v>0</v>
      </c>
    </row>
  </sheetData>
  <sheetProtection algorithmName="SHA-512" hashValue="8VOshIoh08LTwUgWKqxY9aDRTAoiFzRPrskDfUPgObEtC7minA/M2++0c9oph9vsXwCjqLfElYK/hPu4d7k5rw==" saltValue="ZCuRrvbFLM6HbWAKbiM1Vw==" spinCount="100000" sheet="1" objects="1" scenarios="1"/>
  <mergeCells count="8">
    <mergeCell ref="B16:E16"/>
    <mergeCell ref="D10:F10"/>
    <mergeCell ref="D11:E11"/>
    <mergeCell ref="B3:E3"/>
    <mergeCell ref="D4:F5"/>
    <mergeCell ref="D6:F7"/>
    <mergeCell ref="D8:F8"/>
    <mergeCell ref="F12:F15"/>
  </mergeCells>
  <conditionalFormatting sqref="C53:E53 E18:E20 E49:E52 C21:E36 C42:E48">
    <cfRule type="cellIs" dxfId="49" priority="27" operator="greaterThan">
      <formula>0</formula>
    </cfRule>
  </conditionalFormatting>
  <conditionalFormatting sqref="E54">
    <cfRule type="cellIs" dxfId="48" priority="26" operator="greaterThan">
      <formula>0</formula>
    </cfRule>
  </conditionalFormatting>
  <conditionalFormatting sqref="C18:E20">
    <cfRule type="cellIs" dxfId="47" priority="25" operator="greaterThan">
      <formula>0</formula>
    </cfRule>
  </conditionalFormatting>
  <conditionalFormatting sqref="C49:E52">
    <cfRule type="cellIs" dxfId="46" priority="24" operator="greaterThan">
      <formula>0</formula>
    </cfRule>
  </conditionalFormatting>
  <conditionalFormatting sqref="D58:D63">
    <cfRule type="cellIs" dxfId="45" priority="15" operator="greaterThan">
      <formula>0</formula>
    </cfRule>
    <cfRule type="cellIs" dxfId="44" priority="16" operator="greaterThan">
      <formula>0</formula>
    </cfRule>
  </conditionalFormatting>
  <conditionalFormatting sqref="C58:C59 C61:C63">
    <cfRule type="cellIs" dxfId="43" priority="21" operator="equal">
      <formula>"ДА"</formula>
    </cfRule>
    <cfRule type="cellIs" dxfId="42" priority="22" operator="equal">
      <formula>"НЕТ"</formula>
    </cfRule>
  </conditionalFormatting>
  <conditionalFormatting sqref="C58:C59 C61:C63">
    <cfRule type="colorScale" priority="2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60">
    <cfRule type="cellIs" dxfId="41" priority="18" operator="equal">
      <formula>"ДА"</formula>
    </cfRule>
    <cfRule type="cellIs" dxfId="40" priority="19" operator="equal">
      <formula>"НЕТ"</formula>
    </cfRule>
  </conditionalFormatting>
  <conditionalFormatting sqref="C60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58:E63">
    <cfRule type="cellIs" dxfId="39" priority="17" operator="greaterThan">
      <formula>0</formula>
    </cfRule>
  </conditionalFormatting>
  <conditionalFormatting sqref="C58:C63">
    <cfRule type="cellIs" dxfId="38" priority="13" operator="equal">
      <formula>"НЕТ"</formula>
    </cfRule>
    <cfRule type="cellIs" dxfId="37" priority="14" operator="equal">
      <formula>"ДА"</formula>
    </cfRule>
  </conditionalFormatting>
  <conditionalFormatting sqref="C58:C63">
    <cfRule type="cellIs" dxfId="36" priority="12" operator="equal">
      <formula>"ДА"</formula>
    </cfRule>
  </conditionalFormatting>
  <conditionalFormatting sqref="C60">
    <cfRule type="cellIs" dxfId="35" priority="9" operator="equal">
      <formula>"ДА"</formula>
    </cfRule>
    <cfRule type="cellIs" dxfId="34" priority="10" operator="equal">
      <formula>"НЕТ"</formula>
    </cfRule>
  </conditionalFormatting>
  <conditionalFormatting sqref="C60">
    <cfRule type="colorScale" priority="1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58:E63">
    <cfRule type="cellIs" dxfId="33" priority="3" operator="greaterThan">
      <formula>0</formula>
    </cfRule>
    <cfRule type="cellIs" dxfId="32" priority="4" operator="greaterThan">
      <formula>0</formula>
    </cfRule>
    <cfRule type="cellIs" dxfId="31" priority="8" operator="greaterThan">
      <formula>0</formula>
    </cfRule>
  </conditionalFormatting>
  <conditionalFormatting sqref="C60">
    <cfRule type="cellIs" dxfId="30" priority="5" operator="equal">
      <formula>"ДА"</formula>
    </cfRule>
    <cfRule type="cellIs" dxfId="29" priority="6" operator="equal">
      <formula>"НЕТ"</formula>
    </cfRule>
  </conditionalFormatting>
  <conditionalFormatting sqref="C60">
    <cfRule type="colorScale" priority="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7:C41">
    <cfRule type="cellIs" dxfId="28" priority="1" operator="greaterThan">
      <formula>0</formula>
    </cfRule>
  </conditionalFormatting>
  <conditionalFormatting sqref="D37:E41">
    <cfRule type="cellIs" dxfId="27" priority="2" operator="greaterThan">
      <formula>0</formula>
    </cfRule>
  </conditionalFormatting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9"/>
  <sheetViews>
    <sheetView tabSelected="1" workbookViewId="0">
      <selection activeCell="O32" sqref="O32"/>
    </sheetView>
  </sheetViews>
  <sheetFormatPr defaultRowHeight="11.25"/>
  <cols>
    <col min="2" max="2" width="55.83203125" customWidth="1"/>
    <col min="4" max="4" width="13.33203125" customWidth="1"/>
    <col min="5" max="5" width="12.33203125" customWidth="1"/>
    <col min="6" max="6" width="29.1640625" customWidth="1"/>
  </cols>
  <sheetData>
    <row r="3" spans="2:6" ht="27" thickBot="1">
      <c r="B3" s="1168"/>
      <c r="C3" s="1169"/>
      <c r="D3" s="1169"/>
      <c r="E3" s="1169"/>
      <c r="F3" s="951"/>
    </row>
    <row r="4" spans="2:6" ht="11.25" customHeight="1">
      <c r="B4" s="967" t="s">
        <v>10</v>
      </c>
      <c r="C4" s="968">
        <v>2</v>
      </c>
      <c r="D4" s="1321" t="s">
        <v>595</v>
      </c>
      <c r="E4" s="1321"/>
      <c r="F4" s="1322"/>
    </row>
    <row r="5" spans="2:6" ht="12" thickBot="1">
      <c r="B5" s="969" t="s">
        <v>1</v>
      </c>
      <c r="C5" s="970">
        <v>0</v>
      </c>
      <c r="D5" s="1323"/>
      <c r="E5" s="1323"/>
      <c r="F5" s="1324"/>
    </row>
    <row r="6" spans="2:6">
      <c r="B6" s="967" t="s">
        <v>940</v>
      </c>
      <c r="C6" s="971">
        <v>0</v>
      </c>
      <c r="D6" s="1325" t="s">
        <v>597</v>
      </c>
      <c r="E6" s="1325"/>
      <c r="F6" s="1326"/>
    </row>
    <row r="7" spans="2:6" ht="12" thickBot="1">
      <c r="B7" s="969" t="s">
        <v>414</v>
      </c>
      <c r="C7" s="972">
        <v>0</v>
      </c>
      <c r="D7" s="1327"/>
      <c r="E7" s="1327"/>
      <c r="F7" s="1328"/>
    </row>
    <row r="8" spans="2:6" ht="11.25" customHeight="1">
      <c r="B8" s="967" t="s">
        <v>991</v>
      </c>
      <c r="C8" s="971">
        <v>1</v>
      </c>
      <c r="D8" s="1325" t="s">
        <v>597</v>
      </c>
      <c r="E8" s="1325"/>
      <c r="F8" s="1326"/>
    </row>
    <row r="9" spans="2:6" ht="12" thickBot="1">
      <c r="B9" s="969" t="s">
        <v>992</v>
      </c>
      <c r="C9" s="972">
        <v>0</v>
      </c>
      <c r="D9" s="1327"/>
      <c r="E9" s="1327"/>
      <c r="F9" s="1328"/>
    </row>
    <row r="10" spans="2:6" ht="23.25" customHeight="1">
      <c r="B10" s="820" t="s">
        <v>589</v>
      </c>
      <c r="C10" s="837">
        <v>2</v>
      </c>
      <c r="D10" s="1331" t="s">
        <v>958</v>
      </c>
      <c r="E10" s="1332"/>
      <c r="F10" s="1333"/>
    </row>
    <row r="11" spans="2:6" ht="12" thickBot="1">
      <c r="B11" s="821" t="s">
        <v>277</v>
      </c>
      <c r="C11" s="836">
        <v>1</v>
      </c>
      <c r="D11" s="1165" t="s">
        <v>30</v>
      </c>
      <c r="E11" s="1166"/>
      <c r="F11" s="974"/>
    </row>
    <row r="12" spans="2:6">
      <c r="B12" s="1017" t="s">
        <v>361</v>
      </c>
      <c r="C12" s="1018">
        <v>0</v>
      </c>
      <c r="D12" s="513" t="s">
        <v>287</v>
      </c>
      <c r="E12" s="367" t="s">
        <v>255</v>
      </c>
      <c r="F12" s="1342" t="s">
        <v>597</v>
      </c>
    </row>
    <row r="13" spans="2:6" ht="11.25" customHeight="1">
      <c r="B13" s="1019" t="s">
        <v>362</v>
      </c>
      <c r="C13" s="1020">
        <v>0</v>
      </c>
      <c r="D13" s="514" t="s">
        <v>287</v>
      </c>
      <c r="E13" s="372" t="s">
        <v>255</v>
      </c>
      <c r="F13" s="1343"/>
    </row>
    <row r="14" spans="2:6">
      <c r="B14" s="1021" t="s">
        <v>466</v>
      </c>
      <c r="C14" s="1022">
        <v>1</v>
      </c>
      <c r="D14" s="370" t="s">
        <v>287</v>
      </c>
      <c r="E14" s="369" t="s">
        <v>255</v>
      </c>
      <c r="F14" s="1343"/>
    </row>
    <row r="15" spans="2:6" ht="12" thickBot="1">
      <c r="B15" s="1023" t="s">
        <v>984</v>
      </c>
      <c r="C15" s="1024">
        <v>0</v>
      </c>
      <c r="D15" s="524" t="s">
        <v>287</v>
      </c>
      <c r="E15" s="374" t="s">
        <v>255</v>
      </c>
      <c r="F15" s="1344"/>
    </row>
    <row r="16" spans="2:6" ht="12" thickBot="1">
      <c r="B16" s="1263"/>
      <c r="C16" s="1263"/>
      <c r="D16" s="1263"/>
      <c r="E16" s="1263"/>
      <c r="F16" s="952"/>
    </row>
    <row r="17" spans="2:6" ht="13.5" thickBot="1">
      <c r="B17" s="975" t="s">
        <v>5</v>
      </c>
      <c r="C17" s="976" t="s">
        <v>0</v>
      </c>
      <c r="D17" s="977" t="s">
        <v>4</v>
      </c>
      <c r="E17" s="978" t="s">
        <v>8</v>
      </c>
      <c r="F17" s="979"/>
    </row>
    <row r="18" spans="2:6">
      <c r="B18" s="1025" t="s">
        <v>985</v>
      </c>
      <c r="C18" s="981">
        <f>C14*(C6+C7+C8+C9)</f>
        <v>1</v>
      </c>
      <c r="D18" s="461"/>
      <c r="E18" s="1011">
        <f t="shared" ref="E18:E48" si="0">D18*C18</f>
        <v>0</v>
      </c>
      <c r="F18" s="982"/>
    </row>
    <row r="19" spans="2:6">
      <c r="B19" s="344" t="s">
        <v>117</v>
      </c>
      <c r="C19" s="1026">
        <f>(C12+C13)*(C6+C7+C8+C9)*2</f>
        <v>0</v>
      </c>
      <c r="D19" s="619"/>
      <c r="E19" s="1011">
        <f t="shared" si="0"/>
        <v>0</v>
      </c>
      <c r="F19" s="982"/>
    </row>
    <row r="20" spans="2:6">
      <c r="B20" s="344" t="s">
        <v>986</v>
      </c>
      <c r="C20" s="983">
        <f>C15*(C6+C7+C8+C9)</f>
        <v>0</v>
      </c>
      <c r="D20" s="554"/>
      <c r="E20" s="1011">
        <f t="shared" si="0"/>
        <v>0</v>
      </c>
      <c r="F20" s="982"/>
    </row>
    <row r="21" spans="2:6">
      <c r="B21" s="349" t="s">
        <v>941</v>
      </c>
      <c r="C21" s="984">
        <f>IF(AND(C8+C9&gt;0,C4&lt;=1),(C8+C9)*2,IF(AND(C8+C9&gt;0,C4&lt;=1.5),(C8+C9)*3,IF(AND(C8+C9&gt;0,C4&lt;=2),(C8+C9)*4,IF(AND(C8+C9&gt;0,C4&lt;=2.5),(C8+C9)*5,IF(AND(C8+C9&gt;0,C4&lt;=3),(C8+C9)*6,0)))))</f>
        <v>4</v>
      </c>
      <c r="D21" s="554"/>
      <c r="E21" s="1011">
        <f t="shared" si="0"/>
        <v>0</v>
      </c>
      <c r="F21" s="982"/>
    </row>
    <row r="22" spans="2:6">
      <c r="B22" s="349" t="s">
        <v>942</v>
      </c>
      <c r="C22" s="984">
        <f>IF(C4&gt;0,(C8+C9),0)</f>
        <v>1</v>
      </c>
      <c r="D22" s="554"/>
      <c r="E22" s="1011">
        <f t="shared" si="0"/>
        <v>0</v>
      </c>
      <c r="F22" s="982"/>
    </row>
    <row r="23" spans="2:6">
      <c r="B23" s="349" t="s">
        <v>943</v>
      </c>
      <c r="C23" s="985">
        <f>C8+C9</f>
        <v>1</v>
      </c>
      <c r="D23" s="554"/>
      <c r="E23" s="1011">
        <f t="shared" si="0"/>
        <v>0</v>
      </c>
      <c r="F23" s="982"/>
    </row>
    <row r="24" spans="2:6">
      <c r="B24" s="349" t="s">
        <v>964</v>
      </c>
      <c r="C24" s="984">
        <f>IF(C4&gt;0,(C6+C7),0)</f>
        <v>0</v>
      </c>
      <c r="D24" s="554"/>
      <c r="E24" s="1011">
        <f t="shared" si="0"/>
        <v>0</v>
      </c>
      <c r="F24" s="982"/>
    </row>
    <row r="25" spans="2:6">
      <c r="B25" s="349" t="s">
        <v>965</v>
      </c>
      <c r="C25" s="985">
        <f>(C6+C7)</f>
        <v>0</v>
      </c>
      <c r="D25" s="554"/>
      <c r="E25" s="1011">
        <f t="shared" si="0"/>
        <v>0</v>
      </c>
      <c r="F25" s="982"/>
    </row>
    <row r="26" spans="2:6">
      <c r="B26" s="344" t="s">
        <v>993</v>
      </c>
      <c r="C26" s="985">
        <f>C6+C7</f>
        <v>0</v>
      </c>
      <c r="D26" s="554"/>
      <c r="E26" s="1011">
        <f t="shared" si="0"/>
        <v>0</v>
      </c>
      <c r="F26" s="982"/>
    </row>
    <row r="27" spans="2:6">
      <c r="B27" s="344" t="s">
        <v>944</v>
      </c>
      <c r="C27" s="984">
        <f>(C8+C9)*2</f>
        <v>2</v>
      </c>
      <c r="D27" s="554"/>
      <c r="E27" s="1011">
        <f t="shared" si="0"/>
        <v>0</v>
      </c>
      <c r="F27" s="982"/>
    </row>
    <row r="28" spans="2:6">
      <c r="B28" s="344" t="s">
        <v>987</v>
      </c>
      <c r="C28" s="983">
        <f>C4*C13*2*(C6+C7+C8+C9)</f>
        <v>0</v>
      </c>
      <c r="D28" s="554"/>
      <c r="E28" s="1011">
        <f t="shared" si="0"/>
        <v>0</v>
      </c>
      <c r="F28" s="982"/>
    </row>
    <row r="29" spans="2:6">
      <c r="B29" s="349" t="s">
        <v>988</v>
      </c>
      <c r="C29" s="983">
        <f>C14*C4*(C6+C7+C8+C9)</f>
        <v>2</v>
      </c>
      <c r="D29" s="554"/>
      <c r="E29" s="1011">
        <f t="shared" si="0"/>
        <v>0</v>
      </c>
      <c r="F29" s="982"/>
    </row>
    <row r="30" spans="2:6">
      <c r="B30" s="349" t="s">
        <v>119</v>
      </c>
      <c r="C30" s="983">
        <f>C4*(C9+C7)+(C12*(C6+C7+C8+C9)*C4)</f>
        <v>0</v>
      </c>
      <c r="D30" s="554"/>
      <c r="E30" s="1011">
        <f t="shared" si="0"/>
        <v>0</v>
      </c>
      <c r="F30" s="982"/>
    </row>
    <row r="31" spans="2:6">
      <c r="B31" s="349" t="s">
        <v>945</v>
      </c>
      <c r="C31" s="983">
        <f>C4*C15*(C6+C7+C8+C9)</f>
        <v>0</v>
      </c>
      <c r="D31" s="554"/>
      <c r="E31" s="1011">
        <f t="shared" si="0"/>
        <v>0</v>
      </c>
      <c r="F31" s="982"/>
    </row>
    <row r="32" spans="2:6">
      <c r="B32" s="344" t="s">
        <v>946</v>
      </c>
      <c r="C32" s="984">
        <f>C4*(C6+C8)</f>
        <v>2</v>
      </c>
      <c r="D32" s="554"/>
      <c r="E32" s="1011">
        <f t="shared" si="0"/>
        <v>0</v>
      </c>
      <c r="F32" s="982"/>
    </row>
    <row r="33" spans="2:6">
      <c r="B33" s="344" t="s">
        <v>947</v>
      </c>
      <c r="C33" s="983">
        <f>C4*(C6+C8)</f>
        <v>2</v>
      </c>
      <c r="D33" s="554"/>
      <c r="E33" s="1011">
        <f t="shared" si="0"/>
        <v>0</v>
      </c>
      <c r="F33" s="982"/>
    </row>
    <row r="34" spans="2:6">
      <c r="B34" s="344" t="s">
        <v>948</v>
      </c>
      <c r="C34" s="983">
        <f>(C9+C7)*C4</f>
        <v>0</v>
      </c>
      <c r="D34" s="554"/>
      <c r="E34" s="1011">
        <f t="shared" si="0"/>
        <v>0</v>
      </c>
      <c r="F34" s="982"/>
    </row>
    <row r="35" spans="2:6">
      <c r="B35" s="349" t="s">
        <v>953</v>
      </c>
      <c r="C35" s="350">
        <f>IF(C7+C9&gt;0,C7+C9,0)</f>
        <v>0</v>
      </c>
      <c r="D35" s="554"/>
      <c r="E35" s="1011">
        <f t="shared" si="0"/>
        <v>0</v>
      </c>
      <c r="F35" s="982"/>
    </row>
    <row r="36" spans="2:6">
      <c r="B36" s="349" t="s">
        <v>954</v>
      </c>
      <c r="C36" s="350">
        <f>IF(C6+C8&gt;0,C6+C8,0)</f>
        <v>1</v>
      </c>
      <c r="D36" s="554"/>
      <c r="E36" s="1011">
        <f t="shared" si="0"/>
        <v>0</v>
      </c>
      <c r="F36" s="982"/>
    </row>
    <row r="37" spans="2:6">
      <c r="B37" s="349" t="s">
        <v>956</v>
      </c>
      <c r="C37" s="350">
        <f>C6+C7+C8+C9</f>
        <v>1</v>
      </c>
      <c r="D37" s="554"/>
      <c r="E37" s="1011">
        <f t="shared" si="0"/>
        <v>0</v>
      </c>
      <c r="F37" s="982"/>
    </row>
    <row r="38" spans="2:6">
      <c r="B38" s="349" t="s">
        <v>955</v>
      </c>
      <c r="C38" s="350">
        <f>IF(C7+C9&gt;0,C7+C9,0)</f>
        <v>0</v>
      </c>
      <c r="D38" s="554"/>
      <c r="E38" s="1011">
        <f t="shared" si="0"/>
        <v>0</v>
      </c>
      <c r="F38" s="982"/>
    </row>
    <row r="39" spans="2:6" ht="12.75">
      <c r="B39" s="997" t="s">
        <v>145</v>
      </c>
      <c r="C39" s="350">
        <f>C11</f>
        <v>1</v>
      </c>
      <c r="D39" s="554"/>
      <c r="E39" s="1011">
        <f t="shared" si="0"/>
        <v>0</v>
      </c>
      <c r="F39" s="982"/>
    </row>
    <row r="40" spans="2:6">
      <c r="B40" s="344" t="s">
        <v>949</v>
      </c>
      <c r="C40" s="983">
        <f>C4*(C6+C7+C8+C9)</f>
        <v>2</v>
      </c>
      <c r="D40" s="554"/>
      <c r="E40" s="1011">
        <f t="shared" si="0"/>
        <v>0</v>
      </c>
      <c r="F40" s="982"/>
    </row>
    <row r="41" spans="2:6">
      <c r="B41" s="344" t="s">
        <v>950</v>
      </c>
      <c r="C41" s="984">
        <f>C6+C8</f>
        <v>1</v>
      </c>
      <c r="D41" s="554"/>
      <c r="E41" s="1011">
        <f t="shared" si="0"/>
        <v>0</v>
      </c>
      <c r="F41" s="982"/>
    </row>
    <row r="42" spans="2:6">
      <c r="B42" s="349" t="s">
        <v>951</v>
      </c>
      <c r="C42" s="984">
        <f>C7+C9</f>
        <v>0</v>
      </c>
      <c r="D42" s="554"/>
      <c r="E42" s="1011">
        <f t="shared" si="0"/>
        <v>0</v>
      </c>
      <c r="F42" s="982"/>
    </row>
    <row r="43" spans="2:6">
      <c r="B43" s="349" t="s">
        <v>789</v>
      </c>
      <c r="C43" s="984">
        <f>(C6+C7+C8+C9)*4</f>
        <v>4</v>
      </c>
      <c r="D43" s="554"/>
      <c r="E43" s="1011">
        <f t="shared" si="0"/>
        <v>0</v>
      </c>
      <c r="F43" s="982"/>
    </row>
    <row r="44" spans="2:6">
      <c r="B44" s="349" t="s">
        <v>989</v>
      </c>
      <c r="C44" s="984">
        <f>C14*C4*(C6+C7+C8+C9)</f>
        <v>2</v>
      </c>
      <c r="D44" s="554"/>
      <c r="E44" s="1011">
        <f t="shared" si="0"/>
        <v>0</v>
      </c>
      <c r="F44" s="982"/>
    </row>
    <row r="45" spans="2:6">
      <c r="B45" s="349" t="s">
        <v>364</v>
      </c>
      <c r="C45" s="984">
        <f>C12*C4*(C6+C7+C8+C9)</f>
        <v>0</v>
      </c>
      <c r="D45" s="554"/>
      <c r="E45" s="1011">
        <f t="shared" si="0"/>
        <v>0</v>
      </c>
      <c r="F45" s="982"/>
    </row>
    <row r="46" spans="2:6">
      <c r="B46" s="349" t="s">
        <v>365</v>
      </c>
      <c r="C46" s="984">
        <f>C13*C4*(C6+C7+C8+C9)</f>
        <v>0</v>
      </c>
      <c r="D46" s="554"/>
      <c r="E46" s="1011">
        <f t="shared" si="0"/>
        <v>0</v>
      </c>
      <c r="F46" s="982"/>
    </row>
    <row r="47" spans="2:6">
      <c r="B47" s="349" t="s">
        <v>990</v>
      </c>
      <c r="C47" s="984">
        <f>C15*C4*(C6+C7+C8+C9)</f>
        <v>0</v>
      </c>
      <c r="D47" s="554"/>
      <c r="E47" s="1011">
        <f t="shared" si="0"/>
        <v>0</v>
      </c>
      <c r="F47" s="982"/>
    </row>
    <row r="48" spans="2:6" ht="12" thickBot="1">
      <c r="B48" s="986" t="s">
        <v>952</v>
      </c>
      <c r="C48" s="987">
        <f>IF(C6+C8&gt;1,C6+C8,0)</f>
        <v>0</v>
      </c>
      <c r="D48" s="462"/>
      <c r="E48" s="1012">
        <f t="shared" si="0"/>
        <v>0</v>
      </c>
      <c r="F48" s="982"/>
    </row>
    <row r="49" spans="2:6" ht="13.5" thickBot="1">
      <c r="B49" s="319"/>
      <c r="C49" s="319"/>
      <c r="D49" s="387" t="s">
        <v>9</v>
      </c>
      <c r="E49" s="1036">
        <f>SUMIF(E18:E47,"&gt;0",E18:E47)</f>
        <v>0</v>
      </c>
      <c r="F49" s="982"/>
    </row>
    <row r="50" spans="2:6">
      <c r="F50" s="982"/>
    </row>
    <row r="51" spans="2:6">
      <c r="F51" s="982"/>
    </row>
    <row r="52" spans="2:6" ht="15.75" thickBot="1">
      <c r="B52" s="993" t="s">
        <v>957</v>
      </c>
      <c r="F52" s="982"/>
    </row>
    <row r="53" spans="2:6" ht="12.75">
      <c r="B53" s="574" t="s">
        <v>489</v>
      </c>
      <c r="C53" s="1004">
        <f>IF(C10=1,C6+C7+C8+C9,0)</f>
        <v>0</v>
      </c>
      <c r="D53" s="989"/>
      <c r="E53" s="577">
        <f t="shared" ref="E53:E58" si="1">C53*D53</f>
        <v>0</v>
      </c>
    </row>
    <row r="54" spans="2:6" ht="12.75">
      <c r="B54" s="421" t="s">
        <v>486</v>
      </c>
      <c r="C54" s="1005">
        <f>IF(C10=6,C6+C7+C8+C9,0)</f>
        <v>0</v>
      </c>
      <c r="D54" s="614"/>
      <c r="E54" s="326">
        <f t="shared" si="1"/>
        <v>0</v>
      </c>
    </row>
    <row r="55" spans="2:6" ht="12.75">
      <c r="B55" s="421" t="s">
        <v>591</v>
      </c>
      <c r="C55" s="1005">
        <f>IF(C10=5,C6+C7+C8+C9,0)</f>
        <v>0</v>
      </c>
      <c r="D55" s="614"/>
      <c r="E55" s="326">
        <f t="shared" si="1"/>
        <v>0</v>
      </c>
    </row>
    <row r="56" spans="2:6" ht="12.75">
      <c r="B56" s="421" t="s">
        <v>487</v>
      </c>
      <c r="C56" s="1005">
        <f>IF(C10=2,C6+C7+C8+C9,0)</f>
        <v>1</v>
      </c>
      <c r="D56" s="614"/>
      <c r="E56" s="326">
        <f t="shared" si="1"/>
        <v>0</v>
      </c>
    </row>
    <row r="57" spans="2:6" ht="12.75">
      <c r="B57" s="421" t="s">
        <v>488</v>
      </c>
      <c r="C57" s="1005">
        <f>IF(C10=3,C6+C7+C8+C9,0)</f>
        <v>0</v>
      </c>
      <c r="D57" s="614"/>
      <c r="E57" s="326">
        <f t="shared" si="1"/>
        <v>0</v>
      </c>
    </row>
    <row r="58" spans="2:6" ht="13.5" thickBot="1">
      <c r="B58" s="990" t="s">
        <v>494</v>
      </c>
      <c r="C58" s="1006">
        <f>IF(C10=4,C6+C7+C8+C9,0)</f>
        <v>0</v>
      </c>
      <c r="D58" s="991"/>
      <c r="E58" s="336">
        <f t="shared" si="1"/>
        <v>0</v>
      </c>
    </row>
    <row r="59" spans="2:6" ht="13.5" thickBot="1">
      <c r="D59" s="992" t="s">
        <v>9</v>
      </c>
      <c r="E59" s="998">
        <f>SUMIF(E53:E58,"&gt;0",E53:E58)</f>
        <v>0</v>
      </c>
    </row>
  </sheetData>
  <sheetProtection algorithmName="SHA-512" hashValue="k7+vVZblYw0OY0+Wb7l16o/kibzIdSpiL5/GMmjR35hAVRA9Zm1BUcIcjbOC84nJBcY2JUhYaviDTUdReKfXpg==" saltValue="qCAQ72rohCvLZ27kseVJUQ==" spinCount="100000" sheet="1" objects="1" scenarios="1"/>
  <mergeCells count="8">
    <mergeCell ref="B16:E16"/>
    <mergeCell ref="D10:F10"/>
    <mergeCell ref="D11:E11"/>
    <mergeCell ref="B3:E3"/>
    <mergeCell ref="D8:F9"/>
    <mergeCell ref="D4:F5"/>
    <mergeCell ref="D6:F7"/>
    <mergeCell ref="F12:F15"/>
  </mergeCells>
  <conditionalFormatting sqref="C21:E23 D48:E48 C26:E34 C40:E43">
    <cfRule type="cellIs" dxfId="26" priority="31" operator="greaterThan">
      <formula>0</formula>
    </cfRule>
  </conditionalFormatting>
  <conditionalFormatting sqref="E49">
    <cfRule type="cellIs" dxfId="25" priority="30" operator="greaterThan">
      <formula>0</formula>
    </cfRule>
  </conditionalFormatting>
  <conditionalFormatting sqref="E18:E20">
    <cfRule type="cellIs" dxfId="24" priority="29" operator="greaterThan">
      <formula>0</formula>
    </cfRule>
  </conditionalFormatting>
  <conditionalFormatting sqref="C18:E20">
    <cfRule type="cellIs" dxfId="23" priority="28" operator="greaterThan">
      <formula>0</formula>
    </cfRule>
  </conditionalFormatting>
  <conditionalFormatting sqref="C24:E25">
    <cfRule type="cellIs" dxfId="22" priority="27" operator="greaterThan">
      <formula>0</formula>
    </cfRule>
  </conditionalFormatting>
  <conditionalFormatting sqref="E44:E47">
    <cfRule type="cellIs" dxfId="21" priority="26" operator="greaterThan">
      <formula>0</formula>
    </cfRule>
  </conditionalFormatting>
  <conditionalFormatting sqref="C44:E47">
    <cfRule type="cellIs" dxfId="20" priority="25" operator="greaterThan">
      <formula>0</formula>
    </cfRule>
  </conditionalFormatting>
  <conditionalFormatting sqref="C48">
    <cfRule type="cellIs" dxfId="19" priority="24" operator="greaterThan">
      <formula>0</formula>
    </cfRule>
  </conditionalFormatting>
  <conditionalFormatting sqref="C35:C39">
    <cfRule type="cellIs" dxfId="18" priority="22" operator="greaterThan">
      <formula>0</formula>
    </cfRule>
  </conditionalFormatting>
  <conditionalFormatting sqref="D35:E39">
    <cfRule type="cellIs" dxfId="17" priority="23" operator="greaterThan">
      <formula>0</formula>
    </cfRule>
  </conditionalFormatting>
  <conditionalFormatting sqref="D53:D58">
    <cfRule type="cellIs" dxfId="16" priority="13" operator="greaterThan">
      <formula>0</formula>
    </cfRule>
    <cfRule type="cellIs" dxfId="15" priority="14" operator="greaterThan">
      <formula>0</formula>
    </cfRule>
  </conditionalFormatting>
  <conditionalFormatting sqref="C53:C54 C56:C58">
    <cfRule type="cellIs" dxfId="14" priority="19" operator="equal">
      <formula>"ДА"</formula>
    </cfRule>
    <cfRule type="cellIs" dxfId="13" priority="20" operator="equal">
      <formula>"НЕТ"</formula>
    </cfRule>
  </conditionalFormatting>
  <conditionalFormatting sqref="C53:C54 C56:C58">
    <cfRule type="colorScale" priority="2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5">
    <cfRule type="cellIs" dxfId="12" priority="16" operator="equal">
      <formula>"ДА"</formula>
    </cfRule>
    <cfRule type="cellIs" dxfId="11" priority="17" operator="equal">
      <formula>"НЕТ"</formula>
    </cfRule>
  </conditionalFormatting>
  <conditionalFormatting sqref="C55">
    <cfRule type="colorScale" priority="1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53:E58">
    <cfRule type="cellIs" dxfId="10" priority="15" operator="greaterThan">
      <formula>0</formula>
    </cfRule>
  </conditionalFormatting>
  <conditionalFormatting sqref="C53:C58">
    <cfRule type="cellIs" dxfId="9" priority="11" operator="equal">
      <formula>"НЕТ"</formula>
    </cfRule>
    <cfRule type="cellIs" dxfId="8" priority="12" operator="equal">
      <formula>"ДА"</formula>
    </cfRule>
  </conditionalFormatting>
  <conditionalFormatting sqref="C53:C58">
    <cfRule type="cellIs" dxfId="7" priority="10" operator="equal">
      <formula>"ДА"</formula>
    </cfRule>
  </conditionalFormatting>
  <conditionalFormatting sqref="C55">
    <cfRule type="cellIs" dxfId="6" priority="7" operator="equal">
      <formula>"ДА"</formula>
    </cfRule>
    <cfRule type="cellIs" dxfId="5" priority="8" operator="equal">
      <formula>"НЕТ"</formula>
    </cfRule>
  </conditionalFormatting>
  <conditionalFormatting sqref="C55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53:E58">
    <cfRule type="cellIs" dxfId="4" priority="1" operator="greaterThan">
      <formula>0</formula>
    </cfRule>
    <cfRule type="cellIs" dxfId="3" priority="2" operator="greaterThan">
      <formula>0</formula>
    </cfRule>
    <cfRule type="cellIs" dxfId="2" priority="6" operator="greaterThan">
      <formula>0</formula>
    </cfRule>
  </conditionalFormatting>
  <conditionalFormatting sqref="C55">
    <cfRule type="cellIs" dxfId="1" priority="3" operator="equal">
      <formula>"ДА"</formula>
    </cfRule>
    <cfRule type="cellIs" dxfId="0" priority="4" operator="equal">
      <formula>"НЕТ"</formula>
    </cfRule>
  </conditionalFormatting>
  <conditionalFormatting sqref="C55">
    <cfRule type="colorScale" priority="5">
      <colorScale>
        <cfvo type="num" val="&quot;НЕТ&quot;"/>
        <cfvo type="num" val="&quot;ДА&quot;"/>
        <color rgb="FFFF0000"/>
        <color rgb="FF00B050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L39"/>
  <sheetViews>
    <sheetView zoomScale="115" workbookViewId="0">
      <selection activeCell="D16" sqref="D16:D38"/>
    </sheetView>
  </sheetViews>
  <sheetFormatPr defaultRowHeight="11.25"/>
  <cols>
    <col min="1" max="1" width="58.33203125" customWidth="1"/>
    <col min="2" max="2" width="10" bestFit="1" customWidth="1"/>
    <col min="3" max="3" width="8.5" bestFit="1" customWidth="1"/>
    <col min="4" max="4" width="7.33203125" customWidth="1"/>
    <col min="5" max="5" width="30.6640625" customWidth="1"/>
    <col min="6" max="6" width="3.83203125" customWidth="1"/>
  </cols>
  <sheetData>
    <row r="1" spans="1:12" ht="27" thickBot="1">
      <c r="A1" s="1053" t="s">
        <v>133</v>
      </c>
      <c r="B1" s="1054"/>
      <c r="C1" s="1054"/>
      <c r="D1" s="1054"/>
      <c r="E1" s="1076"/>
    </row>
    <row r="2" spans="1:12" ht="15" thickBot="1">
      <c r="A2" s="1077" t="s">
        <v>3</v>
      </c>
      <c r="B2" s="1078"/>
      <c r="C2" s="1078"/>
      <c r="D2" s="1078"/>
      <c r="E2" s="1079"/>
    </row>
    <row r="3" spans="1:12">
      <c r="A3" s="45" t="s">
        <v>6</v>
      </c>
      <c r="B3" s="877">
        <v>0.6</v>
      </c>
      <c r="C3" s="1080" t="s">
        <v>30</v>
      </c>
      <c r="D3" s="1081"/>
      <c r="E3" s="1056"/>
      <c r="G3" s="1059" t="s">
        <v>122</v>
      </c>
      <c r="H3" s="1060"/>
      <c r="I3" s="1060"/>
      <c r="J3" s="1060"/>
      <c r="K3" s="1060"/>
      <c r="L3" s="1061"/>
    </row>
    <row r="4" spans="1:12" ht="12" thickBot="1">
      <c r="A4" s="46" t="s">
        <v>1</v>
      </c>
      <c r="B4" s="878">
        <v>1.6</v>
      </c>
      <c r="C4" s="1082" t="s">
        <v>30</v>
      </c>
      <c r="D4" s="1083"/>
      <c r="E4" s="1084"/>
      <c r="G4" s="1062"/>
      <c r="H4" s="1063"/>
      <c r="I4" s="1063"/>
      <c r="J4" s="1063"/>
      <c r="K4" s="1063"/>
      <c r="L4" s="1064"/>
    </row>
    <row r="5" spans="1:12">
      <c r="A5" s="46" t="s">
        <v>36</v>
      </c>
      <c r="B5" s="878">
        <v>2</v>
      </c>
      <c r="C5" s="1085" t="s">
        <v>37</v>
      </c>
      <c r="D5" s="1086"/>
      <c r="E5" s="1087"/>
    </row>
    <row r="6" spans="1:12">
      <c r="A6" s="46" t="s">
        <v>31</v>
      </c>
      <c r="B6" s="879">
        <v>1</v>
      </c>
      <c r="C6" s="1085" t="s">
        <v>33</v>
      </c>
      <c r="D6" s="1099"/>
      <c r="E6" s="1100"/>
    </row>
    <row r="7" spans="1:12" ht="12" customHeight="1">
      <c r="A7" s="46" t="s">
        <v>137</v>
      </c>
      <c r="B7" s="879">
        <v>3</v>
      </c>
      <c r="C7" s="1096" t="s">
        <v>582</v>
      </c>
      <c r="D7" s="1101"/>
      <c r="E7" s="1102"/>
    </row>
    <row r="8" spans="1:12" ht="15" customHeight="1">
      <c r="A8" s="46" t="s">
        <v>38</v>
      </c>
      <c r="B8" s="879">
        <v>1</v>
      </c>
      <c r="C8" s="1096" t="s">
        <v>583</v>
      </c>
      <c r="D8" s="1097"/>
      <c r="E8" s="1098"/>
    </row>
    <row r="9" spans="1:12" ht="12.75" customHeight="1">
      <c r="A9" s="49" t="s">
        <v>32</v>
      </c>
      <c r="B9" s="880">
        <v>1</v>
      </c>
      <c r="C9" s="1094" t="s">
        <v>584</v>
      </c>
      <c r="D9" s="1095"/>
      <c r="E9" s="1047"/>
    </row>
    <row r="10" spans="1:12">
      <c r="A10" s="138" t="s">
        <v>53</v>
      </c>
      <c r="B10" s="880">
        <v>10</v>
      </c>
      <c r="C10" s="1091" t="s">
        <v>30</v>
      </c>
      <c r="D10" s="1092"/>
      <c r="E10" s="1093"/>
    </row>
    <row r="11" spans="1:12">
      <c r="A11" s="152" t="s">
        <v>571</v>
      </c>
      <c r="B11" s="880">
        <v>1</v>
      </c>
      <c r="C11" s="1091"/>
      <c r="D11" s="1092"/>
      <c r="E11" s="1093"/>
    </row>
    <row r="12" spans="1:12">
      <c r="A12" s="299" t="s">
        <v>568</v>
      </c>
      <c r="B12" s="880">
        <v>50</v>
      </c>
      <c r="C12" s="1091"/>
      <c r="D12" s="1092"/>
      <c r="E12" s="1093"/>
    </row>
    <row r="13" spans="1:12" ht="12" thickBot="1">
      <c r="A13" s="307" t="s">
        <v>580</v>
      </c>
      <c r="B13" s="881">
        <v>0</v>
      </c>
      <c r="C13" s="1088" t="s">
        <v>33</v>
      </c>
      <c r="D13" s="1089"/>
      <c r="E13" s="1090"/>
    </row>
    <row r="14" spans="1:12" s="306" customFormat="1" ht="12" thickBot="1">
      <c r="A14" s="301"/>
      <c r="B14" s="302"/>
      <c r="C14" s="303"/>
      <c r="D14" s="304"/>
      <c r="E14" s="305"/>
    </row>
    <row r="15" spans="1:12" ht="12.75">
      <c r="A15" s="57" t="s">
        <v>7</v>
      </c>
      <c r="B15" s="300" t="s">
        <v>85</v>
      </c>
      <c r="C15" s="100" t="s">
        <v>0</v>
      </c>
      <c r="D15" s="58" t="s">
        <v>4</v>
      </c>
      <c r="E15" s="59" t="s">
        <v>8</v>
      </c>
    </row>
    <row r="16" spans="1:12">
      <c r="A16" s="23" t="s">
        <v>578</v>
      </c>
      <c r="B16" s="42"/>
      <c r="C16" s="89">
        <f>(IF(B5=2,B3-0.031,B3+0.005))*B10</f>
        <v>5.6899999999999995</v>
      </c>
      <c r="D16" s="839">
        <v>9</v>
      </c>
      <c r="E16" s="60">
        <f t="shared" ref="E16:E33" si="0">C16*D16</f>
        <v>51.209999999999994</v>
      </c>
    </row>
    <row r="17" spans="1:5">
      <c r="A17" s="27" t="s">
        <v>52</v>
      </c>
      <c r="B17" s="42"/>
      <c r="C17" s="89">
        <f>2*B10</f>
        <v>20</v>
      </c>
      <c r="D17" s="839"/>
      <c r="E17" s="60">
        <f t="shared" si="0"/>
        <v>0</v>
      </c>
    </row>
    <row r="18" spans="1:5">
      <c r="A18" s="23" t="s">
        <v>51</v>
      </c>
      <c r="B18" s="42"/>
      <c r="C18" s="89">
        <f>(IF(B5=1,B3,B3-0.036))*B10</f>
        <v>5.64</v>
      </c>
      <c r="D18" s="839"/>
      <c r="E18" s="60">
        <f t="shared" si="0"/>
        <v>0</v>
      </c>
    </row>
    <row r="19" spans="1:5">
      <c r="A19" s="23" t="s">
        <v>50</v>
      </c>
      <c r="B19" s="42"/>
      <c r="C19" s="89">
        <f>C16</f>
        <v>5.6899999999999995</v>
      </c>
      <c r="D19" s="839"/>
      <c r="E19" s="60">
        <f t="shared" si="0"/>
        <v>0</v>
      </c>
    </row>
    <row r="20" spans="1:5">
      <c r="A20" s="23" t="s">
        <v>49</v>
      </c>
      <c r="B20" s="42"/>
      <c r="C20" s="89">
        <f>C18</f>
        <v>5.64</v>
      </c>
      <c r="D20" s="839"/>
      <c r="E20" s="60">
        <f t="shared" si="0"/>
        <v>0</v>
      </c>
    </row>
    <row r="21" spans="1:5">
      <c r="A21" s="23" t="s">
        <v>39</v>
      </c>
      <c r="B21" s="42"/>
      <c r="C21" s="89">
        <f>C18</f>
        <v>5.64</v>
      </c>
      <c r="D21" s="839"/>
      <c r="E21" s="60">
        <f t="shared" si="0"/>
        <v>0</v>
      </c>
    </row>
    <row r="22" spans="1:5">
      <c r="A22" s="101" t="s">
        <v>40</v>
      </c>
      <c r="B22" s="42"/>
      <c r="C22" s="89">
        <f>(IF(B6=1,B4*2+0.2,0))*B10</f>
        <v>34</v>
      </c>
      <c r="D22" s="839"/>
      <c r="E22" s="60">
        <f t="shared" si="0"/>
        <v>0</v>
      </c>
    </row>
    <row r="23" spans="1:5">
      <c r="A23" s="102" t="s">
        <v>41</v>
      </c>
      <c r="B23" s="42"/>
      <c r="C23" s="89">
        <f>(IF(B6=1,IF(B13=0,2,0))*B10)</f>
        <v>20</v>
      </c>
      <c r="D23" s="839"/>
      <c r="E23" s="60">
        <f t="shared" si="0"/>
        <v>0</v>
      </c>
    </row>
    <row r="24" spans="1:5">
      <c r="A24" s="102" t="s">
        <v>581</v>
      </c>
      <c r="B24" s="296"/>
      <c r="C24" s="297">
        <f>(IF(B13=1,IF(B6=1,2,0),0))*B10</f>
        <v>0</v>
      </c>
      <c r="D24" s="839"/>
      <c r="E24" s="60"/>
    </row>
    <row r="25" spans="1:5">
      <c r="A25" s="102" t="s">
        <v>42</v>
      </c>
      <c r="B25" s="42"/>
      <c r="C25" s="89">
        <f>(IF(B9=3,2,0))*B10</f>
        <v>0</v>
      </c>
      <c r="D25" s="839"/>
      <c r="E25" s="60">
        <f t="shared" si="0"/>
        <v>0</v>
      </c>
    </row>
    <row r="26" spans="1:5">
      <c r="A26" s="102" t="s">
        <v>43</v>
      </c>
      <c r="B26" s="42"/>
      <c r="C26" s="89">
        <f>(IF(B6=1,(IF(B7=1,2,0)),0))*B10</f>
        <v>0</v>
      </c>
      <c r="D26" s="839"/>
      <c r="E26" s="60">
        <f t="shared" si="0"/>
        <v>0</v>
      </c>
    </row>
    <row r="27" spans="1:5">
      <c r="A27" s="102" t="s">
        <v>164</v>
      </c>
      <c r="B27" s="130"/>
      <c r="C27" s="131">
        <f>(IF(B6=1,(IF(B7=2,2,0)),0))*B10</f>
        <v>0</v>
      </c>
      <c r="D27" s="839"/>
      <c r="E27" s="60">
        <f t="shared" si="0"/>
        <v>0</v>
      </c>
    </row>
    <row r="28" spans="1:5">
      <c r="A28" s="102" t="s">
        <v>136</v>
      </c>
      <c r="B28" s="296"/>
      <c r="C28" s="297">
        <f>(IF(B6=1,(IF(B7=3,2,0)),0))*B10</f>
        <v>20</v>
      </c>
      <c r="D28" s="839"/>
      <c r="E28" s="60"/>
    </row>
    <row r="29" spans="1:5">
      <c r="A29" s="102" t="s">
        <v>165</v>
      </c>
      <c r="B29" s="130"/>
      <c r="C29" s="131">
        <f>(IF(B6=1,(IF(B7=2,2,0)),0))*B10</f>
        <v>0</v>
      </c>
      <c r="D29" s="839"/>
      <c r="E29" s="60">
        <f t="shared" si="0"/>
        <v>0</v>
      </c>
    </row>
    <row r="30" spans="1:5">
      <c r="A30" s="102" t="s">
        <v>44</v>
      </c>
      <c r="B30" s="42"/>
      <c r="C30" s="89">
        <f>(IF(B9=2,2,0))*B10</f>
        <v>0</v>
      </c>
      <c r="D30" s="839"/>
      <c r="E30" s="60">
        <f t="shared" si="0"/>
        <v>0</v>
      </c>
    </row>
    <row r="31" spans="1:5">
      <c r="A31" s="102" t="s">
        <v>45</v>
      </c>
      <c r="B31" s="42"/>
      <c r="C31" s="89">
        <f>(IF(B9=2,2,0))*B10</f>
        <v>0</v>
      </c>
      <c r="D31" s="839"/>
      <c r="E31" s="60">
        <f t="shared" si="0"/>
        <v>0</v>
      </c>
    </row>
    <row r="32" spans="1:5">
      <c r="A32" s="102" t="s">
        <v>46</v>
      </c>
      <c r="B32" s="42"/>
      <c r="C32" s="89">
        <f>(IF(B8&gt;=1,IF(B7=0,2,0),0)*B10)</f>
        <v>0</v>
      </c>
      <c r="D32" s="839"/>
      <c r="E32" s="60">
        <f t="shared" si="0"/>
        <v>0</v>
      </c>
    </row>
    <row r="33" spans="1:5">
      <c r="A33" s="102" t="s">
        <v>47</v>
      </c>
      <c r="B33" s="42"/>
      <c r="C33" s="297">
        <f>IF(B8=2,IF(B7&gt;0,0,2),0)*B10</f>
        <v>0</v>
      </c>
      <c r="D33" s="839"/>
      <c r="E33" s="60">
        <f t="shared" si="0"/>
        <v>0</v>
      </c>
    </row>
    <row r="34" spans="1:5">
      <c r="A34" s="52" t="s">
        <v>48</v>
      </c>
      <c r="B34" s="124"/>
      <c r="C34" s="125">
        <f>(IF(B8=2,IF(B7=0,0.02,0),0)*B10)</f>
        <v>0</v>
      </c>
      <c r="D34" s="839"/>
      <c r="E34" s="60">
        <f>C34*D34</f>
        <v>0</v>
      </c>
    </row>
    <row r="35" spans="1:5">
      <c r="A35" s="52" t="s">
        <v>231</v>
      </c>
      <c r="B35" s="124"/>
      <c r="C35" s="125">
        <f>B10</f>
        <v>10</v>
      </c>
      <c r="D35" s="839"/>
      <c r="E35" s="60">
        <f>C35*D35</f>
        <v>0</v>
      </c>
    </row>
    <row r="36" spans="1:5">
      <c r="A36" s="23" t="s">
        <v>566</v>
      </c>
      <c r="B36" s="24"/>
      <c r="C36" s="135">
        <f>B10</f>
        <v>10</v>
      </c>
      <c r="D36" s="882"/>
      <c r="E36" s="140">
        <f>D36*C36</f>
        <v>0</v>
      </c>
    </row>
    <row r="37" spans="1:5">
      <c r="A37" s="133" t="s">
        <v>579</v>
      </c>
      <c r="B37" s="127"/>
      <c r="C37" s="136">
        <f>B11</f>
        <v>1</v>
      </c>
      <c r="D37" s="883"/>
      <c r="E37" s="141">
        <f>C37*D37</f>
        <v>0</v>
      </c>
    </row>
    <row r="38" spans="1:5" ht="12" thickBot="1">
      <c r="A38" s="23" t="s">
        <v>569</v>
      </c>
      <c r="B38" s="134"/>
      <c r="C38" s="137">
        <f>B12</f>
        <v>50</v>
      </c>
      <c r="D38" s="884"/>
      <c r="E38" s="142">
        <f>D38*C38</f>
        <v>0</v>
      </c>
    </row>
    <row r="39" spans="1:5">
      <c r="D39" s="3" t="s">
        <v>9</v>
      </c>
      <c r="E39" s="3">
        <f>SUM(E16:E38)</f>
        <v>51.209999999999994</v>
      </c>
    </row>
  </sheetData>
  <sheetProtection algorithmName="SHA-512" hashValue="UtrV9rLjJD7tDBGuTX4s0umGNlWgd92jM80VIfXJc/T0PEpSjQbmidgqTy5XdQfnbRIV+YA/5UZJkf82b8wFfA==" saltValue="dTCyxRnynktmfrbdWd3sJg==" spinCount="100000" sheet="1" objects="1" scenarios="1"/>
  <mergeCells count="14">
    <mergeCell ref="C13:E13"/>
    <mergeCell ref="G3:L4"/>
    <mergeCell ref="C12:E12"/>
    <mergeCell ref="C10:E10"/>
    <mergeCell ref="C9:E9"/>
    <mergeCell ref="C8:E8"/>
    <mergeCell ref="C6:E6"/>
    <mergeCell ref="C7:E7"/>
    <mergeCell ref="C11:E11"/>
    <mergeCell ref="A1:E1"/>
    <mergeCell ref="A2:E2"/>
    <mergeCell ref="C3:E3"/>
    <mergeCell ref="C4:E4"/>
    <mergeCell ref="C5:E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39"/>
  <sheetViews>
    <sheetView workbookViewId="0">
      <selection activeCell="B12" sqref="B12:B38"/>
    </sheetView>
  </sheetViews>
  <sheetFormatPr defaultRowHeight="11.25"/>
  <cols>
    <col min="1" max="1" width="52" customWidth="1"/>
    <col min="2" max="2" width="15.33203125" customWidth="1"/>
    <col min="3" max="3" width="16" customWidth="1"/>
    <col min="4" max="4" width="18.5" customWidth="1"/>
    <col min="9" max="9" width="0" hidden="1" customWidth="1"/>
  </cols>
  <sheetData>
    <row r="1" spans="1:9" ht="27" thickBot="1">
      <c r="A1" s="1057" t="s">
        <v>695</v>
      </c>
      <c r="B1" s="1058"/>
      <c r="C1" s="1058"/>
      <c r="D1" s="1058"/>
      <c r="E1" s="735"/>
      <c r="F1" s="71"/>
    </row>
    <row r="2" spans="1:9">
      <c r="A2" s="1110" t="s">
        <v>10</v>
      </c>
      <c r="B2" s="1111"/>
      <c r="C2" s="1111"/>
      <c r="D2" s="737"/>
    </row>
    <row r="3" spans="1:9">
      <c r="A3" s="1108" t="s">
        <v>1</v>
      </c>
      <c r="B3" s="1109"/>
      <c r="C3" s="1109"/>
      <c r="D3" s="738"/>
    </row>
    <row r="4" spans="1:9">
      <c r="A4" s="1108" t="s">
        <v>2</v>
      </c>
      <c r="B4" s="1109"/>
      <c r="C4" s="1109"/>
      <c r="D4" s="739"/>
    </row>
    <row r="5" spans="1:9">
      <c r="A5" s="1108" t="s">
        <v>696</v>
      </c>
      <c r="B5" s="1109"/>
      <c r="C5" s="1109"/>
      <c r="D5" s="739"/>
      <c r="I5" s="736"/>
    </row>
    <row r="6" spans="1:9">
      <c r="A6" s="1103" t="s">
        <v>568</v>
      </c>
      <c r="B6" s="1104"/>
      <c r="C6" s="1105"/>
      <c r="D6" s="739"/>
      <c r="I6" s="736"/>
    </row>
    <row r="7" spans="1:9">
      <c r="A7" s="1108" t="s">
        <v>130</v>
      </c>
      <c r="B7" s="1109"/>
      <c r="C7" s="1109"/>
      <c r="D7" s="762"/>
      <c r="I7" s="736"/>
    </row>
    <row r="8" spans="1:9" ht="12" thickBot="1">
      <c r="A8" s="1106" t="s">
        <v>571</v>
      </c>
      <c r="B8" s="1107"/>
      <c r="C8" s="1107"/>
      <c r="D8" s="740"/>
      <c r="I8" s="736"/>
    </row>
    <row r="9" spans="1:9">
      <c r="A9" s="16"/>
      <c r="B9" s="17"/>
      <c r="C9" s="13"/>
      <c r="D9" s="13"/>
      <c r="E9" s="13"/>
      <c r="F9" s="71"/>
      <c r="I9" s="736" t="s">
        <v>709</v>
      </c>
    </row>
    <row r="10" spans="1:9" ht="12" thickBot="1">
      <c r="A10" s="18" t="s">
        <v>11</v>
      </c>
      <c r="B10" s="19"/>
      <c r="C10" s="19"/>
      <c r="D10" s="19"/>
      <c r="E10" s="13"/>
      <c r="F10" s="71"/>
      <c r="I10" s="736" t="s">
        <v>710</v>
      </c>
    </row>
    <row r="11" spans="1:9">
      <c r="A11" s="20"/>
      <c r="B11" s="22" t="s">
        <v>4</v>
      </c>
      <c r="C11" s="22" t="s">
        <v>13</v>
      </c>
      <c r="D11" s="741" t="s">
        <v>8</v>
      </c>
      <c r="F11" s="71"/>
    </row>
    <row r="12" spans="1:9">
      <c r="A12" s="742" t="s">
        <v>104</v>
      </c>
      <c r="B12" s="743">
        <v>9</v>
      </c>
      <c r="C12" s="123">
        <f>4*D4</f>
        <v>0</v>
      </c>
      <c r="D12" s="26">
        <f>C12*B12</f>
        <v>0</v>
      </c>
      <c r="F12" s="71"/>
    </row>
    <row r="13" spans="1:9">
      <c r="A13" s="742" t="s">
        <v>702</v>
      </c>
      <c r="B13" s="745"/>
      <c r="C13" s="746">
        <f>D4</f>
        <v>0</v>
      </c>
      <c r="D13" s="26">
        <f>C13*B13</f>
        <v>0</v>
      </c>
      <c r="F13" s="71"/>
    </row>
    <row r="14" spans="1:9">
      <c r="A14" s="752" t="s">
        <v>711</v>
      </c>
      <c r="B14" s="743"/>
      <c r="C14" s="123">
        <f>D4</f>
        <v>0</v>
      </c>
      <c r="D14" s="26">
        <f t="shared" ref="D14:D27" si="0">C14*B14</f>
        <v>0</v>
      </c>
      <c r="F14" s="71"/>
    </row>
    <row r="15" spans="1:9">
      <c r="A15" s="742" t="s">
        <v>697</v>
      </c>
      <c r="B15" s="743"/>
      <c r="C15" s="123">
        <f>IF(D2&gt;0,(D2-0.016)*D4,0)</f>
        <v>0</v>
      </c>
      <c r="D15" s="26">
        <f t="shared" si="0"/>
        <v>0</v>
      </c>
      <c r="F15" s="759"/>
    </row>
    <row r="16" spans="1:9">
      <c r="A16" s="742" t="s">
        <v>698</v>
      </c>
      <c r="B16" s="743"/>
      <c r="C16" s="747">
        <f>IF(D2&gt;0,(D2-0.02)*D4,0)</f>
        <v>0</v>
      </c>
      <c r="D16" s="26">
        <f t="shared" si="0"/>
        <v>0</v>
      </c>
      <c r="F16" s="71"/>
    </row>
    <row r="17" spans="1:6">
      <c r="A17" s="744" t="s">
        <v>15</v>
      </c>
      <c r="B17" s="745"/>
      <c r="C17" s="123">
        <f>D4*2</f>
        <v>0</v>
      </c>
      <c r="D17" s="26">
        <f t="shared" si="0"/>
        <v>0</v>
      </c>
      <c r="F17" s="71"/>
    </row>
    <row r="18" spans="1:6">
      <c r="A18" s="742" t="s">
        <v>699</v>
      </c>
      <c r="B18" s="743"/>
      <c r="C18" s="123">
        <f>IF(D3&gt;0,(D3-0.035)*2*D4,0)</f>
        <v>0</v>
      </c>
      <c r="D18" s="26">
        <f t="shared" si="0"/>
        <v>0</v>
      </c>
      <c r="F18" s="71"/>
    </row>
    <row r="19" spans="1:6">
      <c r="A19" s="742" t="s">
        <v>700</v>
      </c>
      <c r="B19" s="743"/>
      <c r="C19" s="123">
        <f>IF(D2&gt;0,(D2-0.022)*D4,0)</f>
        <v>0</v>
      </c>
      <c r="D19" s="26">
        <f t="shared" si="0"/>
        <v>0</v>
      </c>
      <c r="F19" s="71"/>
    </row>
    <row r="20" spans="1:6">
      <c r="A20" s="742" t="s">
        <v>18</v>
      </c>
      <c r="B20" s="743"/>
      <c r="C20" s="123">
        <f>IF(D3&gt;0,(D3-0.035)*2*D4,0)</f>
        <v>0</v>
      </c>
      <c r="D20" s="26">
        <f t="shared" si="0"/>
        <v>0</v>
      </c>
      <c r="F20" s="71"/>
    </row>
    <row r="21" spans="1:6">
      <c r="A21" s="742" t="s">
        <v>19</v>
      </c>
      <c r="B21" s="748"/>
      <c r="C21" s="123">
        <f>IF(D2&gt;0,(D2-0.016)*D4,0)</f>
        <v>0</v>
      </c>
      <c r="D21" s="26">
        <f t="shared" si="0"/>
        <v>0</v>
      </c>
      <c r="F21" s="71"/>
    </row>
    <row r="22" spans="1:6">
      <c r="A22" s="742" t="s">
        <v>20</v>
      </c>
      <c r="B22" s="748"/>
      <c r="C22" s="123">
        <f>IF(D2&gt;0,(D2-0.022)*D4,0)</f>
        <v>0</v>
      </c>
      <c r="D22" s="26">
        <f t="shared" si="0"/>
        <v>0</v>
      </c>
      <c r="F22" s="71"/>
    </row>
    <row r="23" spans="1:6">
      <c r="A23" s="742" t="s">
        <v>701</v>
      </c>
      <c r="B23" s="743"/>
      <c r="C23" s="123">
        <f>IF(D2&gt;0,(D2-0.022)*D4,0)</f>
        <v>0</v>
      </c>
      <c r="D23" s="26">
        <f t="shared" si="0"/>
        <v>0</v>
      </c>
      <c r="F23" s="71"/>
    </row>
    <row r="24" spans="1:6">
      <c r="A24" s="742" t="s">
        <v>566</v>
      </c>
      <c r="B24" s="749"/>
      <c r="C24" s="750">
        <f>D4</f>
        <v>0</v>
      </c>
      <c r="D24" s="751">
        <f t="shared" si="0"/>
        <v>0</v>
      </c>
      <c r="F24" s="71"/>
    </row>
    <row r="25" spans="1:6">
      <c r="A25" s="742" t="s">
        <v>570</v>
      </c>
      <c r="B25" s="749"/>
      <c r="C25" s="750">
        <f>D8</f>
        <v>0</v>
      </c>
      <c r="D25" s="751">
        <f t="shared" si="0"/>
        <v>0</v>
      </c>
      <c r="F25" s="71"/>
    </row>
    <row r="26" spans="1:6">
      <c r="A26" s="742" t="s">
        <v>569</v>
      </c>
      <c r="B26" s="749"/>
      <c r="C26" s="750">
        <f>D7</f>
        <v>0</v>
      </c>
      <c r="D26" s="751">
        <f t="shared" si="0"/>
        <v>0</v>
      </c>
      <c r="F26" s="71"/>
    </row>
    <row r="27" spans="1:6" ht="12" thickBot="1">
      <c r="A27" s="754" t="s">
        <v>567</v>
      </c>
      <c r="B27" s="755"/>
      <c r="C27" s="33">
        <f>D6</f>
        <v>0</v>
      </c>
      <c r="D27" s="34">
        <f t="shared" si="0"/>
        <v>0</v>
      </c>
      <c r="F27" s="71"/>
    </row>
    <row r="28" spans="1:6" ht="12" thickBot="1">
      <c r="A28" s="756" t="s">
        <v>703</v>
      </c>
      <c r="B28" s="868"/>
      <c r="C28" s="13"/>
      <c r="D28" s="760">
        <f>SUM(D12:D27)</f>
        <v>0</v>
      </c>
      <c r="E28" s="13"/>
      <c r="F28" s="71"/>
    </row>
    <row r="29" spans="1:6" ht="12" thickBot="1">
      <c r="A29" s="16"/>
      <c r="B29" s="868"/>
      <c r="C29" s="13"/>
      <c r="D29" s="13"/>
      <c r="E29" s="13"/>
      <c r="F29" s="71"/>
    </row>
    <row r="30" spans="1:6">
      <c r="A30" s="36" t="s">
        <v>35</v>
      </c>
      <c r="B30" s="870"/>
      <c r="C30" s="21"/>
      <c r="D30" s="103"/>
      <c r="F30" s="71"/>
    </row>
    <row r="31" spans="1:6">
      <c r="A31" s="742" t="s">
        <v>704</v>
      </c>
      <c r="B31" s="743"/>
      <c r="C31" s="123">
        <f>IF(D5="Нет",D4,0)</f>
        <v>0</v>
      </c>
      <c r="D31" s="26">
        <f t="shared" ref="D31:D33" si="1">C31*B31</f>
        <v>0</v>
      </c>
      <c r="F31" s="71"/>
    </row>
    <row r="32" spans="1:6">
      <c r="A32" s="742" t="s">
        <v>705</v>
      </c>
      <c r="B32" s="743"/>
      <c r="C32" s="747">
        <f>IF(AND(D5="Нет",D2&gt;0),D4*(D2-0.02),0)</f>
        <v>0</v>
      </c>
      <c r="D32" s="26">
        <f t="shared" si="1"/>
        <v>0</v>
      </c>
      <c r="F32" s="71"/>
    </row>
    <row r="33" spans="1:6" ht="12" thickBot="1">
      <c r="A33" s="754" t="s">
        <v>25</v>
      </c>
      <c r="B33" s="755"/>
      <c r="C33" s="758">
        <f>IF(AND(D2&gt;0,D5="Нет"),((D2-0.02)+0.1)*D4,0)</f>
        <v>0</v>
      </c>
      <c r="D33" s="34">
        <f t="shared" si="1"/>
        <v>0</v>
      </c>
      <c r="F33" s="71"/>
    </row>
    <row r="34" spans="1:6" ht="12" thickBot="1">
      <c r="A34" s="756" t="s">
        <v>703</v>
      </c>
      <c r="B34" s="868"/>
      <c r="C34" s="13"/>
      <c r="D34" s="757">
        <f>SUM(D31:D33)</f>
        <v>0</v>
      </c>
      <c r="E34" s="13"/>
      <c r="F34" s="71"/>
    </row>
    <row r="35" spans="1:6">
      <c r="A35" s="40"/>
      <c r="B35" s="868"/>
      <c r="C35" s="13"/>
      <c r="D35" s="13"/>
      <c r="E35" s="13"/>
      <c r="F35" s="71"/>
    </row>
    <row r="36" spans="1:6">
      <c r="A36" s="18" t="s">
        <v>706</v>
      </c>
      <c r="B36" s="868"/>
      <c r="C36" s="13"/>
      <c r="D36" s="13"/>
      <c r="E36" s="13"/>
      <c r="F36" s="71"/>
    </row>
    <row r="37" spans="1:6" ht="12" thickBot="1">
      <c r="A37" s="18"/>
      <c r="B37" s="868"/>
      <c r="C37" s="13"/>
      <c r="D37" s="13"/>
      <c r="E37" s="13"/>
      <c r="F37" s="71"/>
    </row>
    <row r="38" spans="1:6" ht="12" thickBot="1">
      <c r="A38" s="763" t="s">
        <v>712</v>
      </c>
      <c r="B38" s="764"/>
      <c r="C38" s="765">
        <f>D4</f>
        <v>0</v>
      </c>
      <c r="D38" s="766">
        <f>C38*B38</f>
        <v>0</v>
      </c>
    </row>
    <row r="39" spans="1:6" ht="12" thickBot="1">
      <c r="A39" s="756" t="s">
        <v>703</v>
      </c>
      <c r="B39" s="13"/>
      <c r="C39" s="13"/>
      <c r="D39" s="757">
        <f>D38</f>
        <v>0</v>
      </c>
    </row>
  </sheetData>
  <sheetProtection algorithmName="SHA-512" hashValue="RvAcBNxtsgXMqLaLeeHISKFx6757BtQEhP2tx7n5dgTi/gIoGJF4dBhF/f+x5fAi1gzfM9JAypejRQh+Zc0gDw==" saltValue="R3uw0ZyN/YlZxVneq7E4Nw==" spinCount="100000" sheet="1" objects="1" scenarios="1"/>
  <mergeCells count="8">
    <mergeCell ref="A6:C6"/>
    <mergeCell ref="A8:C8"/>
    <mergeCell ref="A7:C7"/>
    <mergeCell ref="A1:D1"/>
    <mergeCell ref="A2:C2"/>
    <mergeCell ref="A3:C3"/>
    <mergeCell ref="A4:C4"/>
    <mergeCell ref="A5:C5"/>
  </mergeCells>
  <dataValidations count="1">
    <dataValidation type="list" allowBlank="1" showInputMessage="1" showErrorMessage="1" sqref="D5:D8">
      <formula1>$I$8:$I$10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38"/>
  <sheetViews>
    <sheetView workbookViewId="0">
      <selection activeCell="B12" sqref="B12:B37"/>
    </sheetView>
  </sheetViews>
  <sheetFormatPr defaultRowHeight="11.25"/>
  <cols>
    <col min="1" max="1" width="52.5" customWidth="1"/>
    <col min="2" max="2" width="14.6640625" customWidth="1"/>
    <col min="3" max="3" width="17.83203125" customWidth="1"/>
    <col min="4" max="4" width="13.33203125" customWidth="1"/>
    <col min="9" max="9" width="0" hidden="1" customWidth="1"/>
  </cols>
  <sheetData>
    <row r="1" spans="1:9" ht="27" thickBot="1">
      <c r="A1" s="1057" t="s">
        <v>713</v>
      </c>
      <c r="B1" s="1058"/>
      <c r="C1" s="1058"/>
      <c r="D1" s="1058"/>
      <c r="E1" s="735"/>
      <c r="F1" s="71"/>
    </row>
    <row r="2" spans="1:9">
      <c r="A2" s="1110" t="s">
        <v>10</v>
      </c>
      <c r="B2" s="1111"/>
      <c r="C2" s="1111"/>
      <c r="D2" s="737"/>
    </row>
    <row r="3" spans="1:9">
      <c r="A3" s="1108" t="s">
        <v>1</v>
      </c>
      <c r="B3" s="1109"/>
      <c r="C3" s="1109"/>
      <c r="D3" s="738"/>
    </row>
    <row r="4" spans="1:9">
      <c r="A4" s="1108" t="s">
        <v>2</v>
      </c>
      <c r="B4" s="1109"/>
      <c r="C4" s="1109"/>
      <c r="D4" s="739"/>
    </row>
    <row r="5" spans="1:9">
      <c r="A5" s="1108" t="s">
        <v>696</v>
      </c>
      <c r="B5" s="1109"/>
      <c r="C5" s="1109"/>
      <c r="D5" s="739"/>
    </row>
    <row r="6" spans="1:9">
      <c r="A6" s="1103" t="s">
        <v>568</v>
      </c>
      <c r="B6" s="1104"/>
      <c r="C6" s="1105"/>
      <c r="D6" s="739"/>
      <c r="I6" s="736" t="s">
        <v>707</v>
      </c>
    </row>
    <row r="7" spans="1:9">
      <c r="A7" s="1108" t="s">
        <v>130</v>
      </c>
      <c r="B7" s="1109"/>
      <c r="C7" s="1109"/>
      <c r="D7" s="762"/>
      <c r="I7" s="736" t="s">
        <v>708</v>
      </c>
    </row>
    <row r="8" spans="1:9" ht="12" thickBot="1">
      <c r="A8" s="1106" t="s">
        <v>571</v>
      </c>
      <c r="B8" s="1107"/>
      <c r="C8" s="1107"/>
      <c r="D8" s="740"/>
      <c r="I8" s="736"/>
    </row>
    <row r="9" spans="1:9">
      <c r="A9" s="16"/>
      <c r="B9" s="17"/>
      <c r="C9" s="13"/>
      <c r="D9" s="13"/>
      <c r="E9" s="13"/>
      <c r="F9" s="71"/>
      <c r="I9" s="736" t="s">
        <v>709</v>
      </c>
    </row>
    <row r="10" spans="1:9" ht="12" thickBot="1">
      <c r="A10" s="18" t="s">
        <v>11</v>
      </c>
      <c r="B10" s="19"/>
      <c r="C10" s="19"/>
      <c r="D10" s="19"/>
      <c r="E10" s="13"/>
      <c r="F10" s="71"/>
      <c r="I10" s="736" t="s">
        <v>710</v>
      </c>
    </row>
    <row r="11" spans="1:9">
      <c r="A11" s="20"/>
      <c r="B11" s="22" t="s">
        <v>4</v>
      </c>
      <c r="C11" s="22" t="s">
        <v>13</v>
      </c>
      <c r="D11" s="741" t="s">
        <v>8</v>
      </c>
      <c r="F11" s="71"/>
    </row>
    <row r="12" spans="1:9">
      <c r="A12" s="742" t="s">
        <v>104</v>
      </c>
      <c r="B12" s="743">
        <v>9</v>
      </c>
      <c r="C12" s="123">
        <f>4*D4</f>
        <v>0</v>
      </c>
      <c r="D12" s="26">
        <f>C12*B12</f>
        <v>0</v>
      </c>
      <c r="F12" s="71"/>
    </row>
    <row r="13" spans="1:9">
      <c r="A13" s="752" t="s">
        <v>711</v>
      </c>
      <c r="B13" s="743"/>
      <c r="C13" s="123">
        <f>D4</f>
        <v>0</v>
      </c>
      <c r="D13" s="26">
        <f t="shared" ref="D13:D28" si="0">C13*B13</f>
        <v>0</v>
      </c>
      <c r="F13" s="71"/>
    </row>
    <row r="14" spans="1:9">
      <c r="A14" s="742" t="s">
        <v>697</v>
      </c>
      <c r="B14" s="743"/>
      <c r="C14" s="123">
        <f>IF(D2&gt;0,(D2-0.016)*D4,0)</f>
        <v>0</v>
      </c>
      <c r="D14" s="26">
        <f t="shared" si="0"/>
        <v>0</v>
      </c>
      <c r="F14" s="759"/>
    </row>
    <row r="15" spans="1:9">
      <c r="A15" s="742" t="s">
        <v>698</v>
      </c>
      <c r="B15" s="743"/>
      <c r="C15" s="747">
        <f>IF(D2&gt;0,(D2-0.02)*D4,0)</f>
        <v>0</v>
      </c>
      <c r="D15" s="26">
        <f t="shared" si="0"/>
        <v>0</v>
      </c>
      <c r="F15" s="71"/>
    </row>
    <row r="16" spans="1:9">
      <c r="A16" s="744" t="s">
        <v>15</v>
      </c>
      <c r="B16" s="745"/>
      <c r="C16" s="123">
        <f>D4*2</f>
        <v>0</v>
      </c>
      <c r="D16" s="26">
        <f t="shared" si="0"/>
        <v>0</v>
      </c>
      <c r="F16" s="71"/>
    </row>
    <row r="17" spans="1:6">
      <c r="A17" s="742" t="s">
        <v>714</v>
      </c>
      <c r="B17" s="743"/>
      <c r="C17" s="747">
        <f>IF(D3&gt;0,(D3-0.035)*2*D4,0)</f>
        <v>0</v>
      </c>
      <c r="D17" s="26">
        <f t="shared" si="0"/>
        <v>0</v>
      </c>
      <c r="F17" s="71"/>
    </row>
    <row r="18" spans="1:6">
      <c r="A18" s="742" t="s">
        <v>700</v>
      </c>
      <c r="B18" s="743"/>
      <c r="C18" s="747">
        <f>IF(D2&gt;0,(D2-0.022)*D4,0)</f>
        <v>0</v>
      </c>
      <c r="D18" s="26">
        <f t="shared" si="0"/>
        <v>0</v>
      </c>
      <c r="F18" s="71"/>
    </row>
    <row r="19" spans="1:6">
      <c r="A19" s="742" t="s">
        <v>18</v>
      </c>
      <c r="B19" s="743"/>
      <c r="C19" s="747">
        <f>IF(D3&gt;0,(D3-0.035)*2*D4,0)</f>
        <v>0</v>
      </c>
      <c r="D19" s="26">
        <f t="shared" si="0"/>
        <v>0</v>
      </c>
      <c r="F19" s="71"/>
    </row>
    <row r="20" spans="1:6">
      <c r="A20" s="742" t="s">
        <v>19</v>
      </c>
      <c r="B20" s="748"/>
      <c r="C20" s="747">
        <f>IF(D2&gt;0,(D2-0.016)*D4,0)</f>
        <v>0</v>
      </c>
      <c r="D20" s="26">
        <f t="shared" si="0"/>
        <v>0</v>
      </c>
      <c r="F20" s="71"/>
    </row>
    <row r="21" spans="1:6">
      <c r="A21" s="742" t="s">
        <v>20</v>
      </c>
      <c r="B21" s="748"/>
      <c r="C21" s="747">
        <f>IF(D2&gt;0,(D2-0.022)*D4,0)</f>
        <v>0</v>
      </c>
      <c r="D21" s="26">
        <f t="shared" si="0"/>
        <v>0</v>
      </c>
      <c r="F21" s="71"/>
    </row>
    <row r="22" spans="1:6">
      <c r="A22" s="742" t="s">
        <v>715</v>
      </c>
      <c r="B22" s="749"/>
      <c r="C22" s="750">
        <f>D4</f>
        <v>0</v>
      </c>
      <c r="D22" s="751">
        <f t="shared" si="0"/>
        <v>0</v>
      </c>
      <c r="F22" s="71"/>
    </row>
    <row r="23" spans="1:6">
      <c r="A23" s="742" t="s">
        <v>716</v>
      </c>
      <c r="B23" s="749"/>
      <c r="C23" s="750">
        <f>D4</f>
        <v>0</v>
      </c>
      <c r="D23" s="751">
        <f t="shared" si="0"/>
        <v>0</v>
      </c>
      <c r="F23" s="71"/>
    </row>
    <row r="24" spans="1:6">
      <c r="A24" s="742" t="s">
        <v>717</v>
      </c>
      <c r="B24" s="749"/>
      <c r="C24" s="767">
        <f>IF(D2&gt;0,(D2-0.02)*D4,0)</f>
        <v>0</v>
      </c>
      <c r="D24" s="751">
        <f t="shared" si="0"/>
        <v>0</v>
      </c>
      <c r="F24" s="71"/>
    </row>
    <row r="25" spans="1:6">
      <c r="A25" s="742" t="s">
        <v>566</v>
      </c>
      <c r="B25" s="749"/>
      <c r="C25" s="767">
        <f>D4</f>
        <v>0</v>
      </c>
      <c r="D25" s="751">
        <f t="shared" si="0"/>
        <v>0</v>
      </c>
      <c r="F25" s="71"/>
    </row>
    <row r="26" spans="1:6">
      <c r="A26" s="742" t="s">
        <v>570</v>
      </c>
      <c r="B26" s="749"/>
      <c r="C26" s="767">
        <f>D8</f>
        <v>0</v>
      </c>
      <c r="D26" s="751">
        <f t="shared" si="0"/>
        <v>0</v>
      </c>
      <c r="F26" s="71"/>
    </row>
    <row r="27" spans="1:6">
      <c r="A27" s="742" t="s">
        <v>569</v>
      </c>
      <c r="B27" s="749"/>
      <c r="C27" s="767">
        <f>D7</f>
        <v>0</v>
      </c>
      <c r="D27" s="751">
        <f t="shared" si="0"/>
        <v>0</v>
      </c>
      <c r="F27" s="71"/>
    </row>
    <row r="28" spans="1:6" ht="12" thickBot="1">
      <c r="A28" s="754" t="s">
        <v>567</v>
      </c>
      <c r="B28" s="755"/>
      <c r="C28" s="758">
        <f>D6</f>
        <v>0</v>
      </c>
      <c r="D28" s="34">
        <f t="shared" si="0"/>
        <v>0</v>
      </c>
      <c r="F28" s="71"/>
    </row>
    <row r="29" spans="1:6" ht="12" thickBot="1">
      <c r="A29" s="756" t="s">
        <v>703</v>
      </c>
      <c r="B29" s="868"/>
      <c r="C29" s="13"/>
      <c r="D29" s="760"/>
      <c r="E29" s="13"/>
      <c r="F29" s="71"/>
    </row>
    <row r="30" spans="1:6" ht="12" thickBot="1">
      <c r="A30" s="16"/>
      <c r="B30" s="868"/>
      <c r="C30" s="13"/>
      <c r="D30" s="13"/>
      <c r="E30" s="13"/>
      <c r="F30" s="71"/>
    </row>
    <row r="31" spans="1:6">
      <c r="A31" s="36" t="s">
        <v>35</v>
      </c>
      <c r="B31" s="870"/>
      <c r="C31" s="21"/>
      <c r="D31" s="103"/>
      <c r="F31" s="71"/>
    </row>
    <row r="32" spans="1:6" ht="12" thickBot="1">
      <c r="A32" s="754" t="s">
        <v>25</v>
      </c>
      <c r="B32" s="755"/>
      <c r="C32" s="758">
        <f>IF(AND(D2&gt;0,D6="Нет"),((D2-0.02)+0.1)*D4,0)</f>
        <v>0</v>
      </c>
      <c r="D32" s="34">
        <f t="shared" ref="D32" si="1">C32*B32</f>
        <v>0</v>
      </c>
      <c r="F32" s="71"/>
    </row>
    <row r="33" spans="1:6" ht="12" thickBot="1">
      <c r="A33" s="756" t="s">
        <v>703</v>
      </c>
      <c r="B33" s="868"/>
      <c r="C33" s="13"/>
      <c r="D33" s="757"/>
      <c r="E33" s="13"/>
      <c r="F33" s="71"/>
    </row>
    <row r="34" spans="1:6">
      <c r="A34" s="40"/>
      <c r="B34" s="868"/>
      <c r="C34" s="13"/>
      <c r="D34" s="13"/>
      <c r="E34" s="13"/>
      <c r="F34" s="71"/>
    </row>
    <row r="35" spans="1:6">
      <c r="A35" s="18" t="s">
        <v>706</v>
      </c>
      <c r="B35" s="868"/>
      <c r="C35" s="13"/>
      <c r="D35" s="13"/>
      <c r="E35" s="13"/>
      <c r="F35" s="71"/>
    </row>
    <row r="36" spans="1:6" ht="12" thickBot="1">
      <c r="A36" s="18"/>
      <c r="B36" s="868"/>
      <c r="C36" s="13"/>
      <c r="D36" s="13"/>
      <c r="E36" s="13"/>
      <c r="F36" s="71"/>
    </row>
    <row r="37" spans="1:6" ht="12" thickBot="1">
      <c r="A37" s="763" t="s">
        <v>712</v>
      </c>
      <c r="B37" s="764"/>
      <c r="C37" s="765">
        <f>IF(D8="Да",D4,0)</f>
        <v>0</v>
      </c>
      <c r="D37" s="766">
        <f>C37*B37</f>
        <v>0</v>
      </c>
      <c r="E37" s="71"/>
    </row>
    <row r="38" spans="1:6" ht="12" thickBot="1">
      <c r="A38" s="756" t="s">
        <v>703</v>
      </c>
      <c r="B38" s="13"/>
      <c r="C38" s="13"/>
      <c r="D38" s="760"/>
    </row>
  </sheetData>
  <sheetProtection algorithmName="SHA-512" hashValue="41TUUcrJXZ5cVKcP3TlL9AMipFlcxL4aZRrm7kphF5boud/qQKTI0wQvrVt7r/8Q2vfzz8Xl1KekT+u+dsX8Cg==" saltValue="s70odm+4tztHg9ncDtg6UQ==" spinCount="100000" sheet="1" objects="1" scenarios="1"/>
  <mergeCells count="8">
    <mergeCell ref="A7:C7"/>
    <mergeCell ref="A8:C8"/>
    <mergeCell ref="A1:D1"/>
    <mergeCell ref="A2:C2"/>
    <mergeCell ref="A3:C3"/>
    <mergeCell ref="A4:C4"/>
    <mergeCell ref="A5:C5"/>
    <mergeCell ref="A6:C6"/>
  </mergeCells>
  <dataValidations count="1">
    <dataValidation type="list" allowBlank="1" showInputMessage="1" showErrorMessage="1" sqref="D5:D8">
      <formula1>$I$8:$I$10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I37"/>
  <sheetViews>
    <sheetView workbookViewId="0">
      <selection activeCell="B12" sqref="B12:B36"/>
    </sheetView>
  </sheetViews>
  <sheetFormatPr defaultRowHeight="11.25"/>
  <cols>
    <col min="1" max="1" width="52.5" customWidth="1"/>
    <col min="2" max="2" width="16.1640625" customWidth="1"/>
    <col min="3" max="3" width="14.1640625" customWidth="1"/>
    <col min="4" max="4" width="13.1640625" customWidth="1"/>
    <col min="9" max="9" width="0" hidden="1" customWidth="1"/>
  </cols>
  <sheetData>
    <row r="1" spans="1:9" ht="27" thickBot="1">
      <c r="A1" s="1057" t="s">
        <v>718</v>
      </c>
      <c r="B1" s="1058"/>
      <c r="C1" s="1058"/>
      <c r="D1" s="1058"/>
      <c r="E1" s="735"/>
      <c r="F1" s="71"/>
    </row>
    <row r="2" spans="1:9">
      <c r="A2" s="1110" t="s">
        <v>10</v>
      </c>
      <c r="B2" s="1111"/>
      <c r="C2" s="1111"/>
      <c r="D2" s="737"/>
    </row>
    <row r="3" spans="1:9">
      <c r="A3" s="1108" t="s">
        <v>1</v>
      </c>
      <c r="B3" s="1109"/>
      <c r="C3" s="1109"/>
      <c r="D3" s="738"/>
    </row>
    <row r="4" spans="1:9">
      <c r="A4" s="1108" t="s">
        <v>2</v>
      </c>
      <c r="B4" s="1109"/>
      <c r="C4" s="1109"/>
      <c r="D4" s="739"/>
    </row>
    <row r="5" spans="1:9">
      <c r="A5" s="1108" t="s">
        <v>696</v>
      </c>
      <c r="B5" s="1109"/>
      <c r="C5" s="1109"/>
      <c r="D5" s="739"/>
      <c r="I5" s="736" t="s">
        <v>707</v>
      </c>
    </row>
    <row r="6" spans="1:9">
      <c r="A6" s="1103" t="s">
        <v>568</v>
      </c>
      <c r="B6" s="1104"/>
      <c r="C6" s="1105"/>
      <c r="D6" s="739"/>
      <c r="I6" s="736" t="s">
        <v>708</v>
      </c>
    </row>
    <row r="7" spans="1:9">
      <c r="A7" s="1108" t="s">
        <v>130</v>
      </c>
      <c r="B7" s="1109"/>
      <c r="C7" s="1109"/>
      <c r="D7" s="762"/>
      <c r="I7" s="736"/>
    </row>
    <row r="8" spans="1:9" ht="12" thickBot="1">
      <c r="A8" s="1106" t="s">
        <v>571</v>
      </c>
      <c r="B8" s="1107"/>
      <c r="C8" s="1107"/>
      <c r="D8" s="740"/>
      <c r="E8" s="13"/>
      <c r="F8" s="71"/>
      <c r="I8" s="736" t="s">
        <v>709</v>
      </c>
    </row>
    <row r="9" spans="1:9">
      <c r="A9" s="768"/>
      <c r="B9" s="769"/>
      <c r="C9" s="769"/>
      <c r="D9" s="770"/>
      <c r="E9" s="13"/>
      <c r="F9" s="71"/>
      <c r="I9" s="736"/>
    </row>
    <row r="10" spans="1:9" ht="12" thickBot="1">
      <c r="A10" s="18" t="s">
        <v>11</v>
      </c>
      <c r="B10" s="19"/>
      <c r="C10" s="19"/>
      <c r="D10" s="19"/>
      <c r="E10" s="13"/>
      <c r="F10" s="71"/>
      <c r="I10" s="736" t="s">
        <v>710</v>
      </c>
    </row>
    <row r="11" spans="1:9">
      <c r="A11" s="20"/>
      <c r="B11" s="22" t="s">
        <v>4</v>
      </c>
      <c r="C11" s="22" t="s">
        <v>13</v>
      </c>
      <c r="D11" s="741" t="s">
        <v>8</v>
      </c>
      <c r="F11" s="71"/>
    </row>
    <row r="12" spans="1:9">
      <c r="A12" s="742" t="s">
        <v>104</v>
      </c>
      <c r="B12" s="743">
        <v>9</v>
      </c>
      <c r="C12" s="123">
        <f>4*D4</f>
        <v>0</v>
      </c>
      <c r="D12" s="26">
        <f>C12*B12</f>
        <v>0</v>
      </c>
      <c r="F12" s="71"/>
    </row>
    <row r="13" spans="1:9">
      <c r="A13" s="752" t="s">
        <v>711</v>
      </c>
      <c r="B13" s="743"/>
      <c r="C13" s="123">
        <f>D4</f>
        <v>0</v>
      </c>
      <c r="D13" s="26">
        <f t="shared" ref="D13:D25" si="0">C13*B13</f>
        <v>0</v>
      </c>
      <c r="F13" s="71"/>
    </row>
    <row r="14" spans="1:9">
      <c r="A14" s="742" t="s">
        <v>697</v>
      </c>
      <c r="B14" s="743"/>
      <c r="C14" s="123">
        <f>IF(D2&gt;0,(D2-0.016)*D4,0)</f>
        <v>0</v>
      </c>
      <c r="D14" s="26">
        <f t="shared" si="0"/>
        <v>0</v>
      </c>
      <c r="F14" s="759"/>
    </row>
    <row r="15" spans="1:9">
      <c r="A15" s="742" t="s">
        <v>698</v>
      </c>
      <c r="B15" s="743"/>
      <c r="C15" s="747">
        <f>IF(D2&gt;0,(D2-0.02)*D4,0)</f>
        <v>0</v>
      </c>
      <c r="D15" s="26">
        <f t="shared" si="0"/>
        <v>0</v>
      </c>
      <c r="F15" s="71"/>
    </row>
    <row r="16" spans="1:9">
      <c r="A16" s="742" t="s">
        <v>699</v>
      </c>
      <c r="B16" s="743"/>
      <c r="C16" s="123">
        <f>IF(D3&gt;0,(D3-0.035)*2*D4,0)</f>
        <v>0</v>
      </c>
      <c r="D16" s="26">
        <f t="shared" si="0"/>
        <v>0</v>
      </c>
      <c r="F16" s="71"/>
    </row>
    <row r="17" spans="1:6">
      <c r="A17" s="742" t="s">
        <v>719</v>
      </c>
      <c r="B17" s="743"/>
      <c r="C17" s="123">
        <f>IF(D2&gt;0,(D2-0.022)*D4,0)</f>
        <v>0</v>
      </c>
      <c r="D17" s="26">
        <f t="shared" si="0"/>
        <v>0</v>
      </c>
      <c r="F17" s="71"/>
    </row>
    <row r="18" spans="1:6">
      <c r="A18" s="742" t="s">
        <v>18</v>
      </c>
      <c r="B18" s="743"/>
      <c r="C18" s="123">
        <f>IF(D3&gt;0,(D3-0.035)*2*D4,0)</f>
        <v>0</v>
      </c>
      <c r="D18" s="26">
        <f t="shared" si="0"/>
        <v>0</v>
      </c>
      <c r="F18" s="71"/>
    </row>
    <row r="19" spans="1:6">
      <c r="A19" s="742" t="s">
        <v>19</v>
      </c>
      <c r="B19" s="748"/>
      <c r="C19" s="123">
        <f>IF(D2&gt;0,(D2-0.016)*D4,0)</f>
        <v>0</v>
      </c>
      <c r="D19" s="26">
        <f t="shared" si="0"/>
        <v>0</v>
      </c>
      <c r="F19" s="71"/>
    </row>
    <row r="20" spans="1:6">
      <c r="A20" s="742" t="s">
        <v>20</v>
      </c>
      <c r="B20" s="748"/>
      <c r="C20" s="123">
        <f>IF(D2&gt;0,(D2-0.022)*D4,0)</f>
        <v>0</v>
      </c>
      <c r="D20" s="26">
        <f t="shared" si="0"/>
        <v>0</v>
      </c>
      <c r="F20" s="71"/>
    </row>
    <row r="21" spans="1:6">
      <c r="A21" s="753" t="s">
        <v>702</v>
      </c>
      <c r="B21" s="749"/>
      <c r="C21" s="750">
        <f>D4</f>
        <v>0</v>
      </c>
      <c r="D21" s="751">
        <f t="shared" si="0"/>
        <v>0</v>
      </c>
      <c r="F21" s="71"/>
    </row>
    <row r="22" spans="1:6">
      <c r="A22" s="742" t="s">
        <v>566</v>
      </c>
      <c r="B22" s="749"/>
      <c r="C22" s="750">
        <f>D4</f>
        <v>0</v>
      </c>
      <c r="D22" s="751">
        <f t="shared" si="0"/>
        <v>0</v>
      </c>
      <c r="F22" s="71"/>
    </row>
    <row r="23" spans="1:6">
      <c r="A23" s="742" t="s">
        <v>570</v>
      </c>
      <c r="B23" s="749"/>
      <c r="C23" s="750">
        <f>D8</f>
        <v>0</v>
      </c>
      <c r="D23" s="751">
        <f t="shared" si="0"/>
        <v>0</v>
      </c>
      <c r="F23" s="71"/>
    </row>
    <row r="24" spans="1:6">
      <c r="A24" s="742" t="s">
        <v>569</v>
      </c>
      <c r="B24" s="749"/>
      <c r="C24" s="750">
        <f>D7</f>
        <v>0</v>
      </c>
      <c r="D24" s="751">
        <f t="shared" si="0"/>
        <v>0</v>
      </c>
      <c r="F24" s="71"/>
    </row>
    <row r="25" spans="1:6" ht="12" thickBot="1">
      <c r="A25" s="754" t="s">
        <v>567</v>
      </c>
      <c r="B25" s="755"/>
      <c r="C25" s="33">
        <f>D6</f>
        <v>0</v>
      </c>
      <c r="D25" s="34">
        <f t="shared" si="0"/>
        <v>0</v>
      </c>
      <c r="F25" s="71"/>
    </row>
    <row r="26" spans="1:6" ht="12" thickBot="1">
      <c r="A26" s="756" t="s">
        <v>703</v>
      </c>
      <c r="B26" s="868"/>
      <c r="C26" s="13"/>
      <c r="D26" s="757"/>
      <c r="E26" s="13"/>
      <c r="F26" s="71"/>
    </row>
    <row r="27" spans="1:6" ht="12" thickBot="1">
      <c r="A27" s="16"/>
      <c r="B27" s="868"/>
      <c r="C27" s="13"/>
      <c r="D27" s="13"/>
      <c r="E27" s="13"/>
      <c r="F27" s="71"/>
    </row>
    <row r="28" spans="1:6">
      <c r="A28" s="36" t="s">
        <v>35</v>
      </c>
      <c r="B28" s="870"/>
      <c r="C28" s="21"/>
      <c r="D28" s="103"/>
      <c r="F28" s="71"/>
    </row>
    <row r="29" spans="1:6">
      <c r="A29" s="742" t="s">
        <v>704</v>
      </c>
      <c r="B29" s="743"/>
      <c r="C29" s="123">
        <f>IF(D5="Нет",D4,0)</f>
        <v>0</v>
      </c>
      <c r="D29" s="26">
        <f t="shared" ref="D29:D31" si="1">C29*B29</f>
        <v>0</v>
      </c>
      <c r="F29" s="71"/>
    </row>
    <row r="30" spans="1:6">
      <c r="A30" s="742" t="s">
        <v>705</v>
      </c>
      <c r="B30" s="743"/>
      <c r="C30" s="747">
        <f>IF(AND(D5="Нет",D2&gt;0),D4*(D2-0.02),0)</f>
        <v>0</v>
      </c>
      <c r="D30" s="26">
        <f t="shared" si="1"/>
        <v>0</v>
      </c>
      <c r="F30" s="71"/>
    </row>
    <row r="31" spans="1:6" ht="12" thickBot="1">
      <c r="A31" s="754" t="s">
        <v>25</v>
      </c>
      <c r="B31" s="755"/>
      <c r="C31" s="758">
        <f>IF(AND(D2&gt;0,D5="Нет"),((D2-0.02)+0.1)*D4,0)</f>
        <v>0</v>
      </c>
      <c r="D31" s="34">
        <f t="shared" si="1"/>
        <v>0</v>
      </c>
      <c r="F31" s="71"/>
    </row>
    <row r="32" spans="1:6" ht="12" thickBot="1">
      <c r="A32" s="756" t="s">
        <v>703</v>
      </c>
      <c r="B32" s="868"/>
      <c r="C32" s="13"/>
      <c r="D32" s="757"/>
      <c r="E32" s="13"/>
      <c r="F32" s="71"/>
    </row>
    <row r="33" spans="1:6">
      <c r="A33" s="40"/>
      <c r="B33" s="868"/>
      <c r="C33" s="13"/>
      <c r="D33" s="13"/>
      <c r="E33" s="13"/>
      <c r="F33" s="71"/>
    </row>
    <row r="34" spans="1:6">
      <c r="A34" s="18" t="s">
        <v>706</v>
      </c>
      <c r="B34" s="868"/>
      <c r="C34" s="13"/>
      <c r="D34" s="13"/>
      <c r="E34" s="13"/>
      <c r="F34" s="71"/>
    </row>
    <row r="35" spans="1:6" ht="12" thickBot="1">
      <c r="A35" s="18"/>
      <c r="B35" s="868"/>
      <c r="C35" s="13"/>
      <c r="D35" s="13"/>
      <c r="E35" s="13"/>
      <c r="F35" s="71"/>
    </row>
    <row r="36" spans="1:6" ht="12" thickBot="1">
      <c r="A36" s="763" t="s">
        <v>712</v>
      </c>
      <c r="B36" s="764"/>
      <c r="C36" s="765">
        <f>D4</f>
        <v>0</v>
      </c>
      <c r="D36" s="766">
        <f>C36*B36</f>
        <v>0</v>
      </c>
    </row>
    <row r="37" spans="1:6" ht="12" thickBot="1">
      <c r="A37" s="756" t="s">
        <v>703</v>
      </c>
      <c r="B37" s="13"/>
      <c r="C37" s="13"/>
      <c r="D37" s="757"/>
    </row>
  </sheetData>
  <sheetProtection algorithmName="SHA-512" hashValue="z1FDhXN2zMtkm6QvGpGmLxiPpnchaRChUcW8HqseGdWassAeJrFzma2b0ejl4LoSxH1mTEWrM8wghu3PmaAwfA==" saltValue="PHWF2fKtb7YzaKo169QGZg==" spinCount="100000" sheet="1" objects="1" scenarios="1"/>
  <mergeCells count="8">
    <mergeCell ref="A6:C6"/>
    <mergeCell ref="A7:C7"/>
    <mergeCell ref="A8:C8"/>
    <mergeCell ref="A1:D1"/>
    <mergeCell ref="A2:C2"/>
    <mergeCell ref="A3:C3"/>
    <mergeCell ref="A4:C4"/>
    <mergeCell ref="A5:C5"/>
  </mergeCells>
  <dataValidations count="2">
    <dataValidation type="list" allowBlank="1" showInputMessage="1" showErrorMessage="1" sqref="D5">
      <formula1>$I$7:$I$10</formula1>
    </dataValidation>
    <dataValidation type="list" allowBlank="1" showInputMessage="1" showErrorMessage="1" sqref="D6:D9">
      <formula1>$I$8:$I$11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54</vt:i4>
      </vt:variant>
    </vt:vector>
  </HeadingPairs>
  <TitlesOfParts>
    <vt:vector size="54" baseType="lpstr">
      <vt:lpstr>Вертикальные жалюзи </vt:lpstr>
      <vt:lpstr>UNI1</vt:lpstr>
      <vt:lpstr>UNI1-зебра</vt:lpstr>
      <vt:lpstr>UNI2</vt:lpstr>
      <vt:lpstr>UNI2-зебра</vt:lpstr>
      <vt:lpstr>MINI</vt:lpstr>
      <vt:lpstr>Ролла кассета 1</vt:lpstr>
      <vt:lpstr>Ролла кассета 2</vt:lpstr>
      <vt:lpstr>Ролла кассета 1 Зебра</vt:lpstr>
      <vt:lpstr>Ролла кассета 2 Зебра</vt:lpstr>
      <vt:lpstr>MINI-зебра из</vt:lpstr>
      <vt:lpstr>Holis, Волна</vt:lpstr>
      <vt:lpstr>1"</vt:lpstr>
      <vt:lpstr>Классика AMG</vt:lpstr>
      <vt:lpstr>Кассета AMG</vt:lpstr>
      <vt:lpstr>День-Ночь AMG 45</vt:lpstr>
      <vt:lpstr>Классика Double AMG</vt:lpstr>
      <vt:lpstr>Классика Mono AMG</vt:lpstr>
      <vt:lpstr>Классика AMG XL</vt:lpstr>
      <vt:lpstr>P190x</vt:lpstr>
      <vt:lpstr>P390x</vt:lpstr>
      <vt:lpstr>P890x</vt:lpstr>
      <vt:lpstr>P891x</vt:lpstr>
      <vt:lpstr>Карнизы шторные</vt:lpstr>
      <vt:lpstr>Карнизы шторные Glydea</vt:lpstr>
      <vt:lpstr>Римские шторы</vt:lpstr>
      <vt:lpstr>Римские шторы MAXI</vt:lpstr>
      <vt:lpstr>Классикa BNT M </vt:lpstr>
      <vt:lpstr>День ночь BNT M</vt:lpstr>
      <vt:lpstr>Зебра BNT M</vt:lpstr>
      <vt:lpstr>Зебра кассета BNT М</vt:lpstr>
      <vt:lpstr>Кассета BNT M </vt:lpstr>
      <vt:lpstr>Классика BNT L</vt:lpstr>
      <vt:lpstr>Зебра BNT L</vt:lpstr>
      <vt:lpstr>Кассета ВNT L</vt:lpstr>
      <vt:lpstr>Классика Моно BNT М</vt:lpstr>
      <vt:lpstr>Кассета Моно BNT M</vt:lpstr>
      <vt:lpstr>Классика Моно BNT L</vt:lpstr>
      <vt:lpstr>Кассета Моно BNT L</vt:lpstr>
      <vt:lpstr>Моно Зебра BNT M</vt:lpstr>
      <vt:lpstr>Кассета Моно Зебра BNT M</vt:lpstr>
      <vt:lpstr>Моно Зебра BNT L</vt:lpstr>
      <vt:lpstr>Классика Double BNT L</vt:lpstr>
      <vt:lpstr>Зебра Double BNT L</vt:lpstr>
      <vt:lpstr>Кассета Double BNT L</vt:lpstr>
      <vt:lpstr>Лифт система</vt:lpstr>
      <vt:lpstr>Зебра АМГ L</vt:lpstr>
      <vt:lpstr>Зебра кассета АМГ L</vt:lpstr>
      <vt:lpstr>Зебра кассета Double АМГ L </vt:lpstr>
      <vt:lpstr>Зебра кассета MONO АМГ L </vt:lpstr>
      <vt:lpstr>Кассета АМГ L</vt:lpstr>
      <vt:lpstr>Кассета Double АМГ L</vt:lpstr>
      <vt:lpstr>Кассета MONO АМГ L </vt:lpstr>
      <vt:lpstr>Классика АМГ 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Артём Суворов</dc:creator>
  <cp:lastModifiedBy>Сергей Голубев</cp:lastModifiedBy>
  <cp:lastPrinted>2013-03-22T05:23:42Z</cp:lastPrinted>
  <dcterms:created xsi:type="dcterms:W3CDTF">2005-05-23T08:47:17Z</dcterms:created>
  <dcterms:modified xsi:type="dcterms:W3CDTF">2025-04-16T14:00:25Z</dcterms:modified>
</cp:coreProperties>
</file>