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7" activeTab="27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</sheets>
  <calcPr calcId="162913"/>
</workbook>
</file>

<file path=xl/calcChain.xml><?xml version="1.0" encoding="utf-8"?>
<calcChain xmlns="http://schemas.openxmlformats.org/spreadsheetml/2006/main">
  <c r="C42" i="125" l="1"/>
  <c r="C37" i="125"/>
  <c r="C45" i="146" l="1"/>
  <c r="C44" i="146"/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1" i="165"/>
  <c r="B30" i="165"/>
  <c r="B29" i="165"/>
  <c r="D29" i="165" s="1"/>
  <c r="B28" i="165"/>
  <c r="B27" i="165"/>
  <c r="D27" i="165" s="1"/>
  <c r="B26" i="165"/>
  <c r="D26" i="165" s="1"/>
  <c r="D31" i="165"/>
  <c r="D30" i="165"/>
  <c r="B23" i="165"/>
  <c r="D23" i="165" s="1"/>
  <c r="B21" i="165"/>
  <c r="B22" i="165"/>
  <c r="D22" i="165" s="1"/>
  <c r="B20" i="165"/>
  <c r="B18" i="165"/>
  <c r="B17" i="165"/>
  <c r="B14" i="165"/>
  <c r="B13" i="165"/>
  <c r="B12" i="165"/>
  <c r="D12" i="165" s="1"/>
  <c r="B19" i="165"/>
  <c r="D19" i="165" s="1"/>
  <c r="B11" i="165"/>
  <c r="D28" i="165"/>
  <c r="B24" i="165"/>
  <c r="D24" i="165" s="1"/>
  <c r="B16" i="165"/>
  <c r="D16" i="165" s="1"/>
  <c r="B15" i="165"/>
  <c r="D15" i="165" s="1"/>
  <c r="D11" i="165"/>
  <c r="D17" i="165" l="1"/>
  <c r="D13" i="165"/>
  <c r="D21" i="165"/>
  <c r="D14" i="165"/>
  <c r="C40" i="129"/>
  <c r="C39" i="129"/>
  <c r="D20" i="165" l="1"/>
  <c r="D18" i="165"/>
  <c r="B19" i="164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D37" i="56"/>
  <c r="B37" i="56"/>
  <c r="B36" i="56"/>
  <c r="D36" i="56" s="1"/>
  <c r="B35" i="56"/>
  <c r="D35" i="56" s="1"/>
  <c r="D34" i="56"/>
  <c r="B34" i="56"/>
  <c r="B33" i="56"/>
  <c r="D33" i="56" s="1"/>
  <c r="B32" i="56"/>
  <c r="D32" i="56" s="1"/>
  <c r="D31" i="56"/>
  <c r="B31" i="56"/>
  <c r="B30" i="56"/>
  <c r="D30" i="56" s="1"/>
  <c r="B29" i="56"/>
  <c r="D29" i="56" s="1"/>
  <c r="D28" i="56"/>
  <c r="B28" i="56"/>
  <c r="B27" i="56"/>
  <c r="D27" i="56" s="1"/>
  <c r="B26" i="56"/>
  <c r="D26" i="56" s="1"/>
  <c r="D25" i="56"/>
  <c r="B25" i="56"/>
  <c r="B24" i="56"/>
  <c r="D24" i="56" s="1"/>
  <c r="B23" i="56"/>
  <c r="D23" i="56" s="1"/>
  <c r="D22" i="56"/>
  <c r="B22" i="56"/>
  <c r="B21" i="56"/>
  <c r="B19" i="56" s="1"/>
  <c r="D19" i="56" s="1"/>
  <c r="B20" i="56"/>
  <c r="D20" i="56" s="1"/>
  <c r="B18" i="56"/>
  <c r="D18" i="56" s="1"/>
  <c r="D41" i="56" l="1"/>
  <c r="D21" i="56"/>
  <c r="D50" i="56" s="1"/>
  <c r="C45" i="163" l="1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<sst xmlns="http://schemas.openxmlformats.org/spreadsheetml/2006/main" count="3541" uniqueCount="934">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</sst>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;[Red]\-0.00000"/>
    <numFmt numFmtId="165" formatCode="0.000;[Red]\-0.000"/>
    <numFmt numFmtId="166" formatCode="0.0000;[Red]\-0.0000"/>
    <numFmt numFmtId="167" formatCode="0.000"/>
  </numFmts>
  <fonts count="41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249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5" xfId="0" applyNumberFormat="1" applyBorder="1" applyAlignment="1"/>
    <xf numFmtId="0" fontId="15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NumberFormat="1" applyFill="1" applyBorder="1" applyAlignment="1" applyProtection="1">
      <protection locked="0"/>
    </xf>
    <xf numFmtId="0" fontId="15" fillId="0" borderId="39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 applyProtection="1">
      <alignment vertical="center"/>
      <protection hidden="1"/>
    </xf>
    <xf numFmtId="0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protection locked="0"/>
    </xf>
    <xf numFmtId="0" fontId="21" fillId="0" borderId="7" xfId="0" applyNumberFormat="1" applyFont="1" applyFill="1" applyBorder="1" applyAlignment="1" applyProtection="1">
      <protection hidden="1"/>
    </xf>
    <xf numFmtId="167" fontId="15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14" fillId="0" borderId="43" xfId="0" applyNumberFormat="1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4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483"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19" sqref="C19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981" t="s">
        <v>729</v>
      </c>
      <c r="B2" s="982"/>
      <c r="C2" s="982"/>
      <c r="D2" s="982"/>
    </row>
    <row r="3" spans="1:4">
      <c r="A3" s="802" t="s">
        <v>6</v>
      </c>
      <c r="B3" s="790">
        <v>0</v>
      </c>
      <c r="C3" s="983" t="s">
        <v>30</v>
      </c>
      <c r="D3" s="984"/>
    </row>
    <row r="4" spans="1:4">
      <c r="A4" s="815" t="s">
        <v>1</v>
      </c>
      <c r="B4" s="43">
        <v>0</v>
      </c>
      <c r="C4" s="976" t="s">
        <v>30</v>
      </c>
      <c r="D4" s="977"/>
    </row>
    <row r="5" spans="1:4">
      <c r="A5" s="815" t="s">
        <v>730</v>
      </c>
      <c r="B5" s="44">
        <v>0</v>
      </c>
      <c r="C5" s="976" t="s">
        <v>30</v>
      </c>
      <c r="D5" s="977"/>
    </row>
    <row r="6" spans="1:4">
      <c r="A6" s="815" t="s">
        <v>731</v>
      </c>
      <c r="B6" s="44">
        <v>0</v>
      </c>
      <c r="C6" s="978" t="s">
        <v>732</v>
      </c>
      <c r="D6" s="979"/>
    </row>
    <row r="7" spans="1:4">
      <c r="A7" s="815" t="s">
        <v>733</v>
      </c>
      <c r="B7" s="44">
        <v>0</v>
      </c>
      <c r="C7" s="974" t="s">
        <v>734</v>
      </c>
      <c r="D7" s="975"/>
    </row>
    <row r="8" spans="1:4">
      <c r="A8" s="815" t="s">
        <v>735</v>
      </c>
      <c r="B8" s="43">
        <v>0</v>
      </c>
      <c r="C8" s="976" t="s">
        <v>30</v>
      </c>
      <c r="D8" s="977"/>
    </row>
    <row r="9" spans="1:4">
      <c r="A9" s="815" t="s">
        <v>772</v>
      </c>
      <c r="B9" s="312">
        <v>0</v>
      </c>
      <c r="C9" s="783" t="s">
        <v>774</v>
      </c>
      <c r="D9" s="784" t="s">
        <v>773</v>
      </c>
    </row>
    <row r="10" spans="1:4" ht="12" customHeight="1">
      <c r="A10" s="815" t="s">
        <v>736</v>
      </c>
      <c r="B10" s="44">
        <v>0</v>
      </c>
      <c r="C10" s="978" t="s">
        <v>737</v>
      </c>
      <c r="D10" s="979"/>
    </row>
    <row r="11" spans="1:4" ht="33" customHeight="1">
      <c r="A11" s="816" t="s">
        <v>738</v>
      </c>
      <c r="B11" s="50">
        <v>0</v>
      </c>
      <c r="C11" s="980" t="s">
        <v>739</v>
      </c>
      <c r="D11" s="975"/>
    </row>
    <row r="12" spans="1:4">
      <c r="A12" s="815" t="s">
        <v>740</v>
      </c>
      <c r="B12" s="800">
        <v>0</v>
      </c>
      <c r="C12" s="974" t="s">
        <v>734</v>
      </c>
      <c r="D12" s="975"/>
    </row>
    <row r="13" spans="1:4">
      <c r="A13" s="817" t="s">
        <v>741</v>
      </c>
      <c r="B13" s="44">
        <v>0</v>
      </c>
      <c r="C13" s="974" t="s">
        <v>734</v>
      </c>
      <c r="D13" s="975"/>
    </row>
    <row r="14" spans="1:4" ht="12" thickBot="1">
      <c r="A14" s="817" t="s">
        <v>742</v>
      </c>
      <c r="B14" s="801">
        <v>0</v>
      </c>
      <c r="C14" s="965" t="s">
        <v>734</v>
      </c>
      <c r="D14" s="966"/>
    </row>
    <row r="15" spans="1:4">
      <c r="A15" s="802" t="s">
        <v>743</v>
      </c>
      <c r="B15" s="790">
        <f>CEILING(B3*12.5,1)</f>
        <v>0</v>
      </c>
      <c r="C15" s="967" t="s">
        <v>29</v>
      </c>
      <c r="D15" s="968"/>
    </row>
    <row r="16" spans="1:4" ht="12" thickBot="1">
      <c r="A16" s="803" t="s">
        <v>744</v>
      </c>
      <c r="B16" s="804">
        <f>IF(B3&lt;0.71,2,IF(B3&lt;1.41,3,IF(B3&lt;2.11,4,IF(B3&lt;2.81,5,IF(B3&lt;3.51,6,IF(B3&lt;4.21,7))))))</f>
        <v>2</v>
      </c>
      <c r="C16" s="969"/>
      <c r="D16" s="970"/>
    </row>
    <row r="17" spans="1:7" ht="12" thickBot="1"/>
    <row r="18" spans="1:7" ht="12.75">
      <c r="A18" s="805" t="s">
        <v>7</v>
      </c>
      <c r="B18" s="805" t="s">
        <v>0</v>
      </c>
      <c r="C18" s="806" t="s">
        <v>4</v>
      </c>
      <c r="D18" s="805" t="s">
        <v>8</v>
      </c>
    </row>
    <row r="19" spans="1:7" ht="12.75" customHeight="1">
      <c r="A19" s="808" t="s">
        <v>745</v>
      </c>
      <c r="B19" s="48">
        <f>IF(B6=1,B15,0)*B8</f>
        <v>0</v>
      </c>
      <c r="C19" s="856"/>
      <c r="D19" s="809">
        <f t="shared" ref="D19:D45" si="0">B19*C19</f>
        <v>0</v>
      </c>
    </row>
    <row r="20" spans="1:7">
      <c r="A20" s="809" t="s">
        <v>746</v>
      </c>
      <c r="B20" s="48">
        <f>IF(B6=1,B15,0)*B8</f>
        <v>0</v>
      </c>
      <c r="C20" s="856"/>
      <c r="D20" s="809">
        <f t="shared" si="0"/>
        <v>0</v>
      </c>
    </row>
    <row r="21" spans="1:7">
      <c r="A21" s="809" t="s">
        <v>747</v>
      </c>
      <c r="B21" s="48">
        <f>1*B8</f>
        <v>0</v>
      </c>
      <c r="C21" s="856"/>
      <c r="D21" s="809">
        <f t="shared" si="0"/>
        <v>0</v>
      </c>
    </row>
    <row r="22" spans="1:7" ht="12" customHeight="1">
      <c r="A22" s="808" t="s">
        <v>748</v>
      </c>
      <c r="B22" s="48">
        <f>IF(B11&gt;2,B15/2,IF(B11=2,B15,0))*B8</f>
        <v>0</v>
      </c>
      <c r="C22" s="856"/>
      <c r="D22" s="809">
        <f t="shared" si="0"/>
        <v>0</v>
      </c>
    </row>
    <row r="23" spans="1:7" ht="11.25" customHeight="1">
      <c r="A23" s="808" t="s">
        <v>749</v>
      </c>
      <c r="B23" s="48">
        <f>IF(B11&gt;2,B15/2,IF(B11=1,B15,0))*B8</f>
        <v>0</v>
      </c>
      <c r="C23" s="856"/>
      <c r="D23" s="809">
        <f t="shared" si="0"/>
        <v>0</v>
      </c>
    </row>
    <row r="24" spans="1:7" ht="11.25" customHeight="1">
      <c r="A24" s="808" t="s">
        <v>750</v>
      </c>
      <c r="B24" s="48">
        <f>IF(B12&lt;&gt;1,B16,0)*B8</f>
        <v>0</v>
      </c>
      <c r="C24" s="856"/>
      <c r="D24" s="809">
        <f t="shared" si="0"/>
        <v>0</v>
      </c>
    </row>
    <row r="25" spans="1:7">
      <c r="A25" s="809" t="s">
        <v>184</v>
      </c>
      <c r="B25" s="48">
        <f>IF(B12&lt;&gt;1,B16,0)*B8</f>
        <v>0</v>
      </c>
      <c r="C25" s="856"/>
      <c r="D25" s="809">
        <f t="shared" si="0"/>
        <v>0</v>
      </c>
    </row>
    <row r="26" spans="1:7">
      <c r="A26" s="809" t="s">
        <v>751</v>
      </c>
      <c r="B26" s="48">
        <f>IF(B12&lt;&gt;0,B16,0)*B8</f>
        <v>0</v>
      </c>
      <c r="C26" s="856"/>
      <c r="D26" s="809">
        <f t="shared" si="0"/>
        <v>0</v>
      </c>
    </row>
    <row r="27" spans="1:7">
      <c r="A27" s="809" t="s">
        <v>741</v>
      </c>
      <c r="B27" s="48">
        <f>IF(B13=0,0,B16)*B8</f>
        <v>0</v>
      </c>
      <c r="C27" s="856"/>
      <c r="D27" s="809">
        <f t="shared" si="0"/>
        <v>0</v>
      </c>
    </row>
    <row r="28" spans="1:7">
      <c r="A28" s="809" t="s">
        <v>752</v>
      </c>
      <c r="B28" s="48">
        <f>IF(B13=1,0,IF(B12=0,B16,0))*B8</f>
        <v>0</v>
      </c>
      <c r="C28" s="856"/>
      <c r="D28" s="809">
        <f t="shared" si="0"/>
        <v>0</v>
      </c>
      <c r="G28">
        <v>1</v>
      </c>
    </row>
    <row r="29" spans="1:7">
      <c r="A29" s="809" t="s">
        <v>753</v>
      </c>
      <c r="B29" s="48">
        <f>(B3-0.027)*B8</f>
        <v>0</v>
      </c>
      <c r="C29" s="856"/>
      <c r="D29" s="809">
        <f t="shared" si="0"/>
        <v>0</v>
      </c>
    </row>
    <row r="30" spans="1:7" ht="12" customHeight="1">
      <c r="A30" s="808" t="s">
        <v>754</v>
      </c>
      <c r="B30" s="48">
        <f>1*B8</f>
        <v>0</v>
      </c>
      <c r="C30" s="856"/>
      <c r="D30" s="809">
        <f t="shared" si="0"/>
        <v>0</v>
      </c>
    </row>
    <row r="31" spans="1:7">
      <c r="A31" s="809" t="s">
        <v>755</v>
      </c>
      <c r="B31" s="48">
        <f>(B3-0.04)*B8</f>
        <v>0</v>
      </c>
      <c r="C31" s="856"/>
      <c r="D31" s="809">
        <f t="shared" si="0"/>
        <v>0</v>
      </c>
    </row>
    <row r="32" spans="1:7">
      <c r="A32" s="809" t="s">
        <v>756</v>
      </c>
      <c r="B32" s="48">
        <f>IF(B11=3,1,0)*B8</f>
        <v>0</v>
      </c>
      <c r="C32" s="856"/>
      <c r="D32" s="809">
        <f t="shared" si="0"/>
        <v>0</v>
      </c>
    </row>
    <row r="33" spans="1:4">
      <c r="A33" s="809" t="s">
        <v>757</v>
      </c>
      <c r="B33" s="48">
        <f>IF(B11=1,1,0)*B8</f>
        <v>0</v>
      </c>
      <c r="C33" s="856"/>
      <c r="D33" s="809">
        <f t="shared" si="0"/>
        <v>0</v>
      </c>
    </row>
    <row r="34" spans="1:4">
      <c r="A34" s="809" t="s">
        <v>758</v>
      </c>
      <c r="B34" s="48">
        <f>3*B8</f>
        <v>0</v>
      </c>
      <c r="C34" s="856"/>
      <c r="D34" s="809">
        <f t="shared" si="0"/>
        <v>0</v>
      </c>
    </row>
    <row r="35" spans="1:4">
      <c r="A35" s="809" t="s">
        <v>759</v>
      </c>
      <c r="B35" s="48">
        <f>IF(B3&lt;1.2,0,IF(B11=1,1,0))*B8</f>
        <v>0</v>
      </c>
      <c r="C35" s="856"/>
      <c r="D35" s="809">
        <f t="shared" si="0"/>
        <v>0</v>
      </c>
    </row>
    <row r="36" spans="1:4">
      <c r="A36" s="809" t="s">
        <v>742</v>
      </c>
      <c r="B36" s="48">
        <f>IF(B14=1,B16,0)*B8</f>
        <v>0</v>
      </c>
      <c r="C36" s="856"/>
      <c r="D36" s="809">
        <f t="shared" si="0"/>
        <v>0</v>
      </c>
    </row>
    <row r="37" spans="1:4">
      <c r="A37" s="809" t="s">
        <v>760</v>
      </c>
      <c r="B37" s="48">
        <f>IF(B11=1,1,2)*B8</f>
        <v>0</v>
      </c>
      <c r="C37" s="856"/>
      <c r="D37" s="809">
        <f t="shared" si="0"/>
        <v>0</v>
      </c>
    </row>
    <row r="38" spans="1:4">
      <c r="A38" s="809" t="s">
        <v>761</v>
      </c>
      <c r="B38" s="48">
        <f>IF(B6=1,IF(B10=2,(B15+1)*2*0.105,0),0)*B8</f>
        <v>0</v>
      </c>
      <c r="C38" s="856"/>
      <c r="D38" s="809">
        <f t="shared" si="0"/>
        <v>0</v>
      </c>
    </row>
    <row r="39" spans="1:4">
      <c r="A39" s="809" t="s">
        <v>762</v>
      </c>
      <c r="B39" s="48">
        <f>IF(B6=1,IF(B10=1,(B15+1)*2*0.105,0),0)*B8</f>
        <v>0</v>
      </c>
      <c r="C39" s="856"/>
      <c r="D39" s="809">
        <f t="shared" si="0"/>
        <v>0</v>
      </c>
    </row>
    <row r="40" spans="1:4">
      <c r="A40" s="809" t="s">
        <v>763</v>
      </c>
      <c r="B40" s="48">
        <f>IF(B6=2,IF(B10=1,B3*1.3,0),0)*B8</f>
        <v>0</v>
      </c>
      <c r="C40" s="856"/>
      <c r="D40" s="809">
        <f t="shared" si="0"/>
        <v>0</v>
      </c>
    </row>
    <row r="41" spans="1:4">
      <c r="A41" s="809" t="s">
        <v>764</v>
      </c>
      <c r="B41" s="48">
        <f>IF(B6=2,IF(B10=2,B3*1.3,0),0)*B8</f>
        <v>0</v>
      </c>
      <c r="C41" s="856"/>
      <c r="D41" s="809">
        <f t="shared" si="0"/>
        <v>0</v>
      </c>
    </row>
    <row r="42" spans="1:4">
      <c r="A42" s="807" t="s">
        <v>771</v>
      </c>
      <c r="B42" s="43">
        <f>((B3*2)+0.3)*B8</f>
        <v>0</v>
      </c>
      <c r="C42" s="856"/>
      <c r="D42" s="809">
        <f t="shared" si="0"/>
        <v>0</v>
      </c>
    </row>
    <row r="43" spans="1:4">
      <c r="A43" s="807" t="s">
        <v>775</v>
      </c>
      <c r="B43" s="43">
        <f>B8</f>
        <v>0</v>
      </c>
      <c r="C43" s="856"/>
      <c r="D43" s="809">
        <f t="shared" si="0"/>
        <v>0</v>
      </c>
    </row>
    <row r="44" spans="1:4">
      <c r="A44" s="818" t="s">
        <v>776</v>
      </c>
      <c r="B44" s="819">
        <f>B8</f>
        <v>0</v>
      </c>
      <c r="C44" s="857"/>
      <c r="D44" s="809">
        <f t="shared" si="0"/>
        <v>0</v>
      </c>
    </row>
    <row r="45" spans="1:4" ht="12" thickBot="1">
      <c r="A45" s="810" t="s">
        <v>765</v>
      </c>
      <c r="B45" s="811">
        <f>B15*(B4+0.045)</f>
        <v>0</v>
      </c>
      <c r="C45" s="858">
        <v>50</v>
      </c>
      <c r="D45" s="810">
        <f t="shared" si="0"/>
        <v>0</v>
      </c>
    </row>
    <row r="46" spans="1:4" ht="12" thickBot="1">
      <c r="A46" s="820"/>
      <c r="B46" s="821"/>
      <c r="C46" s="822" t="s">
        <v>9</v>
      </c>
      <c r="D46" s="823">
        <f>SUM(D19:D45)</f>
        <v>0</v>
      </c>
    </row>
    <row r="47" spans="1:4" ht="12" thickBot="1">
      <c r="A47" s="971" t="s">
        <v>22</v>
      </c>
      <c r="B47" s="972"/>
      <c r="C47" s="972"/>
      <c r="D47" s="973"/>
    </row>
    <row r="48" spans="1:4">
      <c r="A48" s="812" t="s">
        <v>766</v>
      </c>
      <c r="B48" s="782">
        <f>IF(B7=1,(B3+0.01+0.03)*B8,0)</f>
        <v>0</v>
      </c>
      <c r="C48" s="51"/>
      <c r="D48" s="813"/>
    </row>
    <row r="49" spans="1:4">
      <c r="A49" s="52" t="s">
        <v>767</v>
      </c>
      <c r="B49" s="783">
        <f>IF(B3&lt;0.71,2,IF(B3&lt;1.41,3,IF(B3&lt;2.11,4,IF(B3&lt;2.81,5,IF(B3&lt;3.51,6,IF(B3&lt;4.21,7,8))))))*B8</f>
        <v>0</v>
      </c>
      <c r="C49" s="785"/>
      <c r="D49" s="786"/>
    </row>
    <row r="50" spans="1:4">
      <c r="A50" s="52" t="s">
        <v>768</v>
      </c>
      <c r="B50" s="783">
        <f>2*B8</f>
        <v>0</v>
      </c>
      <c r="C50" s="785"/>
      <c r="D50" s="786"/>
    </row>
    <row r="51" spans="1:4">
      <c r="A51" s="52" t="s">
        <v>769</v>
      </c>
      <c r="B51" s="783">
        <f>B15*B8</f>
        <v>0</v>
      </c>
      <c r="C51" s="785"/>
      <c r="D51" s="786"/>
    </row>
    <row r="52" spans="1:4" ht="12" thickBot="1">
      <c r="A52" s="814" t="s">
        <v>770</v>
      </c>
      <c r="B52" s="787">
        <f>B15*B8</f>
        <v>0</v>
      </c>
      <c r="C52" s="53"/>
      <c r="D52" s="4"/>
    </row>
  </sheetData>
  <sheetProtection algorithmName="SHA-512" hashValue="CB8cp9Dn2wMhJTXhrppJ0s99lBJg4S8uUDVRZLkp6MMi6cduVHibJWLYDEXKBqkb+X2RP6efVr/oL68xSlqeZw==" saltValue="9Iy26SIhIygPpMzOPC5XCA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132</v>
      </c>
      <c r="B1" s="986"/>
      <c r="C1" s="986"/>
      <c r="D1" s="986"/>
      <c r="E1" s="28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99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/>
      <c r="D13" s="123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9"/>
      <c r="D17" s="123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7"/>
      <c r="D18" s="123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7"/>
      <c r="D19" s="123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7"/>
      <c r="D20" s="123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52"/>
      <c r="D21" s="123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52"/>
      <c r="D22" s="123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7"/>
      <c r="D23" s="123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7"/>
      <c r="D24" s="123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52"/>
      <c r="D25" s="123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52"/>
      <c r="D26" s="123">
        <f>B6</f>
        <v>10</v>
      </c>
      <c r="E26" s="26">
        <f>D26*C26</f>
        <v>0</v>
      </c>
      <c r="F26" s="14"/>
    </row>
    <row r="27" spans="1:6">
      <c r="A27" s="24" t="s">
        <v>567</v>
      </c>
      <c r="B27" s="286"/>
      <c r="C27" s="846"/>
      <c r="D27" s="286">
        <f>B7</f>
        <v>2</v>
      </c>
      <c r="E27" s="26">
        <f>D27*C27</f>
        <v>0</v>
      </c>
      <c r="F27" s="14"/>
    </row>
    <row r="28" spans="1:6">
      <c r="A28" s="16"/>
      <c r="B28" s="13"/>
      <c r="C28" s="884"/>
      <c r="D28" s="13"/>
      <c r="E28" s="35">
        <f>SUM(E13:E26)</f>
        <v>0</v>
      </c>
      <c r="F28" s="14"/>
    </row>
    <row r="29" spans="1:6">
      <c r="A29" s="16"/>
      <c r="B29" s="13"/>
      <c r="C29" s="884"/>
      <c r="D29" s="13"/>
      <c r="E29" s="13"/>
      <c r="F29" s="14"/>
    </row>
    <row r="30" spans="1:6" ht="12" thickBot="1">
      <c r="A30" s="18" t="s">
        <v>22</v>
      </c>
      <c r="B30" s="19"/>
      <c r="C30" s="885"/>
      <c r="D30" s="19"/>
      <c r="E30" s="13"/>
      <c r="F30" s="14"/>
    </row>
    <row r="31" spans="1:6">
      <c r="A31" s="36" t="s">
        <v>35</v>
      </c>
      <c r="B31" s="21"/>
      <c r="C31" s="886"/>
      <c r="D31" s="21"/>
      <c r="E31" s="12"/>
      <c r="F31" s="14"/>
    </row>
    <row r="32" spans="1:6">
      <c r="A32" s="23" t="s">
        <v>23</v>
      </c>
      <c r="B32" s="24"/>
      <c r="C32" s="747"/>
      <c r="D32" s="123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7"/>
      <c r="D33" s="123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9"/>
      <c r="D34" s="33">
        <f>(B3+0.2)*B9</f>
        <v>80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985" t="s">
        <v>577</v>
      </c>
      <c r="B1" s="996"/>
      <c r="C1" s="996"/>
      <c r="D1" s="996"/>
      <c r="E1" s="997"/>
    </row>
    <row r="2" spans="1:12" ht="14.25">
      <c r="A2" s="8" t="s">
        <v>3</v>
      </c>
      <c r="B2" s="12"/>
      <c r="C2" s="13"/>
      <c r="D2" s="13"/>
      <c r="E2" s="14"/>
      <c r="G2" s="987" t="s">
        <v>122</v>
      </c>
      <c r="H2" s="988"/>
      <c r="I2" s="988"/>
      <c r="J2" s="988"/>
      <c r="K2" s="988"/>
      <c r="L2" s="989"/>
    </row>
    <row r="3" spans="1:12" ht="12" thickBot="1">
      <c r="A3" s="9" t="s">
        <v>10</v>
      </c>
      <c r="B3" s="887">
        <v>1.5</v>
      </c>
      <c r="C3" s="13"/>
      <c r="D3" s="13"/>
      <c r="E3" s="14"/>
      <c r="G3" s="990"/>
      <c r="H3" s="991"/>
      <c r="I3" s="991"/>
      <c r="J3" s="991"/>
      <c r="K3" s="991"/>
      <c r="L3" s="992"/>
    </row>
    <row r="4" spans="1:12" ht="12" thickBot="1">
      <c r="A4" s="106" t="s">
        <v>1</v>
      </c>
      <c r="B4" s="889">
        <v>1</v>
      </c>
      <c r="C4" s="13"/>
      <c r="D4" s="13"/>
      <c r="E4" s="14"/>
    </row>
    <row r="5" spans="1:12" ht="12" thickBot="1">
      <c r="A5" s="107" t="s">
        <v>123</v>
      </c>
      <c r="B5" s="890">
        <v>6</v>
      </c>
      <c r="C5" s="126"/>
      <c r="D5" s="13"/>
      <c r="E5" s="14"/>
    </row>
    <row r="6" spans="1:12">
      <c r="A6" s="108" t="s">
        <v>102</v>
      </c>
      <c r="B6" s="890">
        <v>1</v>
      </c>
      <c r="C6" s="13" t="s">
        <v>101</v>
      </c>
      <c r="D6" s="13"/>
      <c r="E6" s="14"/>
    </row>
    <row r="7" spans="1:12">
      <c r="A7" s="151" t="s">
        <v>571</v>
      </c>
      <c r="B7" s="891">
        <v>1</v>
      </c>
      <c r="C7" s="13"/>
      <c r="D7" s="13"/>
      <c r="E7" s="14"/>
    </row>
    <row r="8" spans="1:12">
      <c r="A8" s="9" t="s">
        <v>130</v>
      </c>
      <c r="B8" s="891">
        <v>1</v>
      </c>
      <c r="C8" s="13"/>
      <c r="D8" s="13"/>
      <c r="E8" s="14"/>
    </row>
    <row r="9" spans="1:12" ht="12" thickBot="1">
      <c r="A9" s="9" t="s">
        <v>568</v>
      </c>
      <c r="B9" s="892">
        <v>1</v>
      </c>
      <c r="C9" s="13"/>
      <c r="D9" s="13"/>
      <c r="E9" s="14"/>
    </row>
    <row r="10" spans="1:12" ht="12" thickBot="1">
      <c r="A10" s="10" t="s">
        <v>99</v>
      </c>
      <c r="B10" s="888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4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90">
        <f>B5</f>
        <v>6</v>
      </c>
      <c r="E13" s="15">
        <f t="shared" ref="E13:E27" si="0">D13*C13</f>
        <v>0</v>
      </c>
    </row>
    <row r="14" spans="1:12">
      <c r="A14" s="105" t="s">
        <v>103</v>
      </c>
      <c r="B14" s="123"/>
      <c r="C14" s="90"/>
      <c r="D14" s="90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90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90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90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90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90">
        <f>4*B5</f>
        <v>24</v>
      </c>
      <c r="E19" s="15">
        <f t="shared" si="0"/>
        <v>0</v>
      </c>
    </row>
    <row r="20" spans="1:6">
      <c r="A20" s="52" t="s">
        <v>105</v>
      </c>
      <c r="B20" s="286"/>
      <c r="C20" s="286"/>
      <c r="D20" s="287">
        <f>IF(B6=1,B3*B5,0)</f>
        <v>9</v>
      </c>
      <c r="E20" s="15">
        <f t="shared" si="0"/>
        <v>0</v>
      </c>
    </row>
    <row r="21" spans="1:6">
      <c r="A21" s="52" t="s">
        <v>106</v>
      </c>
      <c r="B21" s="286"/>
      <c r="C21" s="286"/>
      <c r="D21" s="287">
        <f>IF(B6=1,B5,0)</f>
        <v>6</v>
      </c>
      <c r="E21" s="15">
        <f t="shared" si="0"/>
        <v>0</v>
      </c>
    </row>
    <row r="22" spans="1:6">
      <c r="A22" s="52" t="s">
        <v>107</v>
      </c>
      <c r="B22" s="286"/>
      <c r="C22" s="286"/>
      <c r="D22" s="28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90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90">
        <f>B5</f>
        <v>6</v>
      </c>
      <c r="E24" s="15">
        <f t="shared" si="0"/>
        <v>0</v>
      </c>
    </row>
    <row r="25" spans="1:6">
      <c r="A25" s="23" t="s">
        <v>570</v>
      </c>
      <c r="B25" s="127"/>
      <c r="C25" s="128"/>
      <c r="D25" s="129">
        <f>B7</f>
        <v>1</v>
      </c>
      <c r="E25" s="15">
        <f t="shared" si="0"/>
        <v>0</v>
      </c>
    </row>
    <row r="26" spans="1:6">
      <c r="A26" s="23" t="s">
        <v>569</v>
      </c>
      <c r="B26" s="127"/>
      <c r="C26" s="128"/>
      <c r="D26" s="129">
        <f>B8</f>
        <v>1</v>
      </c>
      <c r="E26" s="15">
        <f t="shared" si="0"/>
        <v>0</v>
      </c>
    </row>
    <row r="27" spans="1:6" ht="12" thickBot="1">
      <c r="A27" s="24" t="s">
        <v>567</v>
      </c>
      <c r="B27" s="127"/>
      <c r="C27" s="128"/>
      <c r="D27" s="129">
        <f>B9</f>
        <v>1</v>
      </c>
      <c r="E27" s="15">
        <f t="shared" si="0"/>
        <v>0</v>
      </c>
    </row>
    <row r="28" spans="1:6" ht="12" thickBot="1">
      <c r="A28" s="998" t="s">
        <v>22</v>
      </c>
      <c r="B28" s="999"/>
      <c r="C28" s="999"/>
      <c r="D28" s="999"/>
      <c r="E28" s="1000"/>
      <c r="F28" s="16"/>
    </row>
    <row r="29" spans="1:6">
      <c r="A29" s="1001" t="s">
        <v>35</v>
      </c>
      <c r="B29" s="1002"/>
      <c r="C29" s="1002"/>
      <c r="D29" s="1002"/>
      <c r="E29" s="1003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2">
        <f>D30*C30</f>
        <v>0</v>
      </c>
      <c r="F30" s="16"/>
    </row>
    <row r="31" spans="1:6">
      <c r="D31" s="289" t="s">
        <v>116</v>
      </c>
      <c r="E31" s="109">
        <f>SUM(E13:E30)</f>
        <v>0</v>
      </c>
    </row>
    <row r="32" spans="1:6">
      <c r="D32" s="28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573</v>
      </c>
      <c r="B1" s="986"/>
      <c r="C1" s="986"/>
      <c r="D1" s="986"/>
      <c r="E1" s="29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7"/>
      <c r="D20" s="123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7"/>
      <c r="D21" s="123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7"/>
      <c r="D25" s="123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7"/>
      <c r="D26" s="123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52"/>
      <c r="D27" s="123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52"/>
      <c r="D28" s="123">
        <f>B6</f>
        <v>10</v>
      </c>
      <c r="E28" s="26">
        <f>D28*C28</f>
        <v>0</v>
      </c>
      <c r="F28" s="14"/>
    </row>
    <row r="29" spans="1:6">
      <c r="A29" s="24" t="s">
        <v>567</v>
      </c>
      <c r="B29" s="291"/>
      <c r="C29" s="846"/>
      <c r="D29" s="291">
        <f>B7</f>
        <v>2</v>
      </c>
      <c r="E29" s="26">
        <f>D29*C29</f>
        <v>0</v>
      </c>
      <c r="F29" s="14"/>
    </row>
    <row r="30" spans="1:6">
      <c r="A30" s="16"/>
      <c r="B30" s="13"/>
      <c r="C30" s="884"/>
      <c r="D30" s="13"/>
      <c r="E30" s="35">
        <f>SUM(E13:E28)</f>
        <v>36</v>
      </c>
      <c r="F30" s="14"/>
    </row>
    <row r="31" spans="1:6">
      <c r="A31" s="16"/>
      <c r="B31" s="13"/>
      <c r="C31" s="884"/>
      <c r="D31" s="13"/>
      <c r="E31" s="13"/>
      <c r="F31" s="14"/>
    </row>
    <row r="32" spans="1:6" ht="12" thickBot="1">
      <c r="A32" s="18" t="s">
        <v>22</v>
      </c>
      <c r="B32" s="19"/>
      <c r="C32" s="885"/>
      <c r="D32" s="19"/>
      <c r="E32" s="13"/>
      <c r="F32" s="14"/>
    </row>
    <row r="33" spans="1:6">
      <c r="A33" s="36" t="s">
        <v>35</v>
      </c>
      <c r="B33" s="21"/>
      <c r="C33" s="886"/>
      <c r="D33" s="21"/>
      <c r="E33" s="12"/>
      <c r="F33" s="14"/>
    </row>
    <row r="34" spans="1:6" ht="12" thickBot="1">
      <c r="A34" s="30" t="s">
        <v>25</v>
      </c>
      <c r="B34" s="31"/>
      <c r="C34" s="759"/>
      <c r="D34" s="33">
        <f>(B4-0.07)*2*B5</f>
        <v>1.8599999999999999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576</v>
      </c>
      <c r="B1" s="986"/>
      <c r="C1" s="986"/>
      <c r="D1" s="986"/>
      <c r="E1" s="29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105" t="s">
        <v>103</v>
      </c>
      <c r="B20" s="28"/>
      <c r="C20" s="749"/>
      <c r="D20" s="123">
        <f>D15</f>
        <v>1.3859999999999999</v>
      </c>
      <c r="E20" s="26"/>
      <c r="F20" s="14"/>
    </row>
    <row r="21" spans="1:6">
      <c r="A21" s="23" t="s">
        <v>27</v>
      </c>
      <c r="B21" s="24"/>
      <c r="C21" s="747"/>
      <c r="D21" s="123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7"/>
      <c r="D25" s="123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52"/>
      <c r="D26" s="123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52"/>
      <c r="D27" s="123">
        <f>B6</f>
        <v>10</v>
      </c>
      <c r="E27" s="26">
        <f>D27*C27</f>
        <v>0</v>
      </c>
      <c r="F27" s="14"/>
    </row>
    <row r="28" spans="1:6">
      <c r="A28" s="24" t="s">
        <v>567</v>
      </c>
      <c r="B28" s="293"/>
      <c r="C28" s="846"/>
      <c r="D28" s="293">
        <f>B7</f>
        <v>2</v>
      </c>
      <c r="E28" s="26">
        <f>D28*C28</f>
        <v>0</v>
      </c>
      <c r="F28" s="14"/>
    </row>
    <row r="29" spans="1:6">
      <c r="A29" s="16"/>
      <c r="B29" s="13"/>
      <c r="C29" s="884"/>
      <c r="D29" s="13"/>
      <c r="E29" s="35">
        <f>SUM(E13:E27)</f>
        <v>36</v>
      </c>
      <c r="F29" s="14"/>
    </row>
    <row r="30" spans="1:6">
      <c r="A30" s="16"/>
      <c r="B30" s="13"/>
      <c r="C30" s="884"/>
      <c r="D30" s="13"/>
      <c r="E30" s="13"/>
      <c r="F30" s="14"/>
    </row>
    <row r="31" spans="1:6" ht="12" thickBot="1">
      <c r="A31" s="18" t="s">
        <v>22</v>
      </c>
      <c r="B31" s="19"/>
      <c r="C31" s="885"/>
      <c r="D31" s="19"/>
      <c r="E31" s="13"/>
      <c r="F31" s="14"/>
    </row>
    <row r="32" spans="1:6">
      <c r="A32" s="36" t="s">
        <v>35</v>
      </c>
      <c r="B32" s="21"/>
      <c r="C32" s="886"/>
      <c r="D32" s="21"/>
      <c r="E32" s="12"/>
      <c r="F32" s="14"/>
    </row>
    <row r="33" spans="1:6" ht="12" thickBot="1">
      <c r="A33" s="30" t="s">
        <v>25</v>
      </c>
      <c r="B33" s="31"/>
      <c r="C33" s="759"/>
      <c r="D33" s="33">
        <f>(B4-0.07)*2*B5</f>
        <v>1.8599999999999999</v>
      </c>
      <c r="E33" s="34">
        <f>D33*C33</f>
        <v>0</v>
      </c>
      <c r="F33" s="14"/>
    </row>
    <row r="34" spans="1:6">
      <c r="A34" s="993" t="s">
        <v>26</v>
      </c>
      <c r="B34" s="994"/>
      <c r="C34" s="994"/>
      <c r="D34" s="995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981" t="s">
        <v>133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</row>
    <row r="3" spans="1:12">
      <c r="A3" s="45" t="s">
        <v>6</v>
      </c>
      <c r="B3" s="893">
        <v>0.6</v>
      </c>
      <c r="C3" s="1008" t="s">
        <v>30</v>
      </c>
      <c r="D3" s="1009"/>
      <c r="E3" s="984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894">
        <v>1.6</v>
      </c>
      <c r="C4" s="1010" t="s">
        <v>30</v>
      </c>
      <c r="D4" s="1011"/>
      <c r="E4" s="1012"/>
      <c r="G4" s="990"/>
      <c r="H4" s="991"/>
      <c r="I4" s="991"/>
      <c r="J4" s="991"/>
      <c r="K4" s="991"/>
      <c r="L4" s="992"/>
    </row>
    <row r="5" spans="1:12">
      <c r="A5" s="46" t="s">
        <v>36</v>
      </c>
      <c r="B5" s="894">
        <v>2</v>
      </c>
      <c r="C5" s="1013" t="s">
        <v>37</v>
      </c>
      <c r="D5" s="1014"/>
      <c r="E5" s="1015"/>
    </row>
    <row r="6" spans="1:12">
      <c r="A6" s="46" t="s">
        <v>31</v>
      </c>
      <c r="B6" s="895">
        <v>1</v>
      </c>
      <c r="C6" s="1013" t="s">
        <v>33</v>
      </c>
      <c r="D6" s="1027"/>
      <c r="E6" s="1028"/>
    </row>
    <row r="7" spans="1:12" ht="12" customHeight="1">
      <c r="A7" s="46" t="s">
        <v>137</v>
      </c>
      <c r="B7" s="895">
        <v>3</v>
      </c>
      <c r="C7" s="1024" t="s">
        <v>582</v>
      </c>
      <c r="D7" s="1029"/>
      <c r="E7" s="1030"/>
    </row>
    <row r="8" spans="1:12" ht="15" customHeight="1">
      <c r="A8" s="46" t="s">
        <v>38</v>
      </c>
      <c r="B8" s="895">
        <v>1</v>
      </c>
      <c r="C8" s="1024" t="s">
        <v>583</v>
      </c>
      <c r="D8" s="1025"/>
      <c r="E8" s="1026"/>
    </row>
    <row r="9" spans="1:12" ht="12.75" customHeight="1">
      <c r="A9" s="49" t="s">
        <v>32</v>
      </c>
      <c r="B9" s="896">
        <v>1</v>
      </c>
      <c r="C9" s="1022" t="s">
        <v>584</v>
      </c>
      <c r="D9" s="1023"/>
      <c r="E9" s="975"/>
    </row>
    <row r="10" spans="1:12">
      <c r="A10" s="138" t="s">
        <v>53</v>
      </c>
      <c r="B10" s="896">
        <v>10</v>
      </c>
      <c r="C10" s="1019" t="s">
        <v>30</v>
      </c>
      <c r="D10" s="1020"/>
      <c r="E10" s="1021"/>
    </row>
    <row r="11" spans="1:12">
      <c r="A11" s="152" t="s">
        <v>571</v>
      </c>
      <c r="B11" s="896">
        <v>1</v>
      </c>
      <c r="C11" s="1019"/>
      <c r="D11" s="1020"/>
      <c r="E11" s="1021"/>
    </row>
    <row r="12" spans="1:12">
      <c r="A12" s="303" t="s">
        <v>568</v>
      </c>
      <c r="B12" s="896">
        <v>50</v>
      </c>
      <c r="C12" s="1019"/>
      <c r="D12" s="1020"/>
      <c r="E12" s="1021"/>
    </row>
    <row r="13" spans="1:12" ht="12" thickBot="1">
      <c r="A13" s="311" t="s">
        <v>580</v>
      </c>
      <c r="B13" s="897">
        <v>0</v>
      </c>
      <c r="C13" s="1016" t="s">
        <v>33</v>
      </c>
      <c r="D13" s="1017"/>
      <c r="E13" s="1018"/>
    </row>
    <row r="14" spans="1:12" s="310" customFormat="1" ht="12" thickBot="1">
      <c r="A14" s="305"/>
      <c r="B14" s="306"/>
      <c r="C14" s="307"/>
      <c r="D14" s="308"/>
      <c r="E14" s="309"/>
    </row>
    <row r="15" spans="1:12" ht="12.75">
      <c r="A15" s="57" t="s">
        <v>7</v>
      </c>
      <c r="B15" s="304" t="s">
        <v>85</v>
      </c>
      <c r="C15" s="100" t="s">
        <v>0</v>
      </c>
      <c r="D15" s="58" t="s">
        <v>4</v>
      </c>
      <c r="E15" s="59" t="s">
        <v>8</v>
      </c>
    </row>
    <row r="16" spans="1:12">
      <c r="A16" s="23" t="s">
        <v>578</v>
      </c>
      <c r="B16" s="42"/>
      <c r="C16" s="89">
        <f>(IF(B5=2,B3-0.031,B3+0.005))*B10</f>
        <v>5.6899999999999995</v>
      </c>
      <c r="D16" s="843">
        <v>9</v>
      </c>
      <c r="E16" s="60">
        <f t="shared" ref="E16:E33" si="0">C16*D16</f>
        <v>51.209999999999994</v>
      </c>
    </row>
    <row r="17" spans="1:5">
      <c r="A17" s="27" t="s">
        <v>52</v>
      </c>
      <c r="B17" s="42"/>
      <c r="C17" s="89">
        <f>2*B10</f>
        <v>20</v>
      </c>
      <c r="D17" s="843"/>
      <c r="E17" s="60">
        <f t="shared" si="0"/>
        <v>0</v>
      </c>
    </row>
    <row r="18" spans="1:5">
      <c r="A18" s="23" t="s">
        <v>51</v>
      </c>
      <c r="B18" s="42"/>
      <c r="C18" s="89">
        <f>(IF(B5=1,B3,B3-0.036))*B10</f>
        <v>5.64</v>
      </c>
      <c r="D18" s="843"/>
      <c r="E18" s="60">
        <f t="shared" si="0"/>
        <v>0</v>
      </c>
    </row>
    <row r="19" spans="1:5">
      <c r="A19" s="23" t="s">
        <v>50</v>
      </c>
      <c r="B19" s="42"/>
      <c r="C19" s="89">
        <f>C16</f>
        <v>5.6899999999999995</v>
      </c>
      <c r="D19" s="843"/>
      <c r="E19" s="60">
        <f t="shared" si="0"/>
        <v>0</v>
      </c>
    </row>
    <row r="20" spans="1:5">
      <c r="A20" s="23" t="s">
        <v>49</v>
      </c>
      <c r="B20" s="42"/>
      <c r="C20" s="89">
        <f>C18</f>
        <v>5.64</v>
      </c>
      <c r="D20" s="843"/>
      <c r="E20" s="60">
        <f t="shared" si="0"/>
        <v>0</v>
      </c>
    </row>
    <row r="21" spans="1:5">
      <c r="A21" s="23" t="s">
        <v>39</v>
      </c>
      <c r="B21" s="42"/>
      <c r="C21" s="89">
        <f>C18</f>
        <v>5.64</v>
      </c>
      <c r="D21" s="843"/>
      <c r="E21" s="60">
        <f t="shared" si="0"/>
        <v>0</v>
      </c>
    </row>
    <row r="22" spans="1:5">
      <c r="A22" s="101" t="s">
        <v>40</v>
      </c>
      <c r="B22" s="42"/>
      <c r="C22" s="89">
        <f>(IF(B6=1,B4*2+0.2,0))*B10</f>
        <v>34</v>
      </c>
      <c r="D22" s="843"/>
      <c r="E22" s="60">
        <f t="shared" si="0"/>
        <v>0</v>
      </c>
    </row>
    <row r="23" spans="1:5">
      <c r="A23" s="102" t="s">
        <v>41</v>
      </c>
      <c r="B23" s="42"/>
      <c r="C23" s="89">
        <f>(IF(B6=1,IF(B13=0,2,0))*B10)</f>
        <v>20</v>
      </c>
      <c r="D23" s="843"/>
      <c r="E23" s="60">
        <f t="shared" si="0"/>
        <v>0</v>
      </c>
    </row>
    <row r="24" spans="1:5">
      <c r="A24" s="102" t="s">
        <v>581</v>
      </c>
      <c r="B24" s="300"/>
      <c r="C24" s="301">
        <f>(IF(B13=1,IF(B6=1,2,0),0))*B10</f>
        <v>0</v>
      </c>
      <c r="D24" s="843"/>
      <c r="E24" s="60"/>
    </row>
    <row r="25" spans="1:5">
      <c r="A25" s="102" t="s">
        <v>42</v>
      </c>
      <c r="B25" s="42"/>
      <c r="C25" s="89">
        <f>(IF(B9=3,2,0))*B10</f>
        <v>0</v>
      </c>
      <c r="D25" s="843"/>
      <c r="E25" s="60">
        <f t="shared" si="0"/>
        <v>0</v>
      </c>
    </row>
    <row r="26" spans="1:5">
      <c r="A26" s="102" t="s">
        <v>43</v>
      </c>
      <c r="B26" s="42"/>
      <c r="C26" s="89">
        <f>(IF(B6=1,(IF(B7=1,2,0)),0))*B10</f>
        <v>0</v>
      </c>
      <c r="D26" s="843"/>
      <c r="E26" s="60">
        <f t="shared" si="0"/>
        <v>0</v>
      </c>
    </row>
    <row r="27" spans="1:5">
      <c r="A27" s="102" t="s">
        <v>164</v>
      </c>
      <c r="B27" s="130"/>
      <c r="C27" s="131">
        <f>(IF(B6=1,(IF(B7=2,2,0)),0))*B10</f>
        <v>0</v>
      </c>
      <c r="D27" s="843"/>
      <c r="E27" s="60">
        <f t="shared" si="0"/>
        <v>0</v>
      </c>
    </row>
    <row r="28" spans="1:5">
      <c r="A28" s="102" t="s">
        <v>136</v>
      </c>
      <c r="B28" s="300"/>
      <c r="C28" s="301">
        <f>(IF(B6=1,(IF(B7=3,2,0)),0))*B10</f>
        <v>20</v>
      </c>
      <c r="D28" s="843"/>
      <c r="E28" s="60"/>
    </row>
    <row r="29" spans="1:5">
      <c r="A29" s="102" t="s">
        <v>165</v>
      </c>
      <c r="B29" s="130"/>
      <c r="C29" s="131">
        <f>(IF(B6=1,(IF(B7=2,2,0)),0))*B10</f>
        <v>0</v>
      </c>
      <c r="D29" s="843"/>
      <c r="E29" s="60">
        <f t="shared" si="0"/>
        <v>0</v>
      </c>
    </row>
    <row r="30" spans="1:5">
      <c r="A30" s="102" t="s">
        <v>44</v>
      </c>
      <c r="B30" s="42"/>
      <c r="C30" s="89">
        <f>(IF(B9=2,2,0))*B10</f>
        <v>0</v>
      </c>
      <c r="D30" s="843"/>
      <c r="E30" s="60">
        <f t="shared" si="0"/>
        <v>0</v>
      </c>
    </row>
    <row r="31" spans="1:5">
      <c r="A31" s="102" t="s">
        <v>45</v>
      </c>
      <c r="B31" s="42"/>
      <c r="C31" s="89">
        <f>(IF(B9=2,2,0))*B10</f>
        <v>0</v>
      </c>
      <c r="D31" s="843"/>
      <c r="E31" s="60">
        <f t="shared" si="0"/>
        <v>0</v>
      </c>
    </row>
    <row r="32" spans="1:5">
      <c r="A32" s="102" t="s">
        <v>46</v>
      </c>
      <c r="B32" s="42"/>
      <c r="C32" s="89">
        <f>(IF(B8&gt;=1,IF(B7=0,2,0),0)*B10)</f>
        <v>0</v>
      </c>
      <c r="D32" s="843"/>
      <c r="E32" s="60">
        <f t="shared" si="0"/>
        <v>0</v>
      </c>
    </row>
    <row r="33" spans="1:5">
      <c r="A33" s="102" t="s">
        <v>47</v>
      </c>
      <c r="B33" s="42"/>
      <c r="C33" s="301">
        <f>IF(B8=2,IF(B7&gt;0,0,2),0)*B10</f>
        <v>0</v>
      </c>
      <c r="D33" s="843"/>
      <c r="E33" s="60">
        <f t="shared" si="0"/>
        <v>0</v>
      </c>
    </row>
    <row r="34" spans="1:5">
      <c r="A34" s="52" t="s">
        <v>48</v>
      </c>
      <c r="B34" s="124"/>
      <c r="C34" s="125">
        <f>(IF(B8=2,IF(B7=0,0.02,0),0)*B10)</f>
        <v>0</v>
      </c>
      <c r="D34" s="843"/>
      <c r="E34" s="60">
        <f>C34*D34</f>
        <v>0</v>
      </c>
    </row>
    <row r="35" spans="1:5">
      <c r="A35" s="52" t="s">
        <v>231</v>
      </c>
      <c r="B35" s="124"/>
      <c r="C35" s="125">
        <f>B10</f>
        <v>10</v>
      </c>
      <c r="D35" s="843"/>
      <c r="E35" s="60">
        <f>C35*D35</f>
        <v>0</v>
      </c>
    </row>
    <row r="36" spans="1:5">
      <c r="A36" s="23" t="s">
        <v>566</v>
      </c>
      <c r="B36" s="24"/>
      <c r="C36" s="135">
        <f>B10</f>
        <v>10</v>
      </c>
      <c r="D36" s="898"/>
      <c r="E36" s="140">
        <f>D36*C36</f>
        <v>0</v>
      </c>
    </row>
    <row r="37" spans="1:5">
      <c r="A37" s="133" t="s">
        <v>579</v>
      </c>
      <c r="B37" s="127"/>
      <c r="C37" s="136">
        <f>B11</f>
        <v>1</v>
      </c>
      <c r="D37" s="899"/>
      <c r="E37" s="141">
        <f>C37*D37</f>
        <v>0</v>
      </c>
    </row>
    <row r="38" spans="1:5" ht="12" thickBot="1">
      <c r="A38" s="23" t="s">
        <v>569</v>
      </c>
      <c r="B38" s="134"/>
      <c r="C38" s="137">
        <f>B12</f>
        <v>50</v>
      </c>
      <c r="D38" s="900"/>
      <c r="E38" s="142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985" t="s">
        <v>695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/>
    </row>
    <row r="6" spans="1:9">
      <c r="A6" s="1031" t="s">
        <v>568</v>
      </c>
      <c r="B6" s="1032"/>
      <c r="C6" s="1033"/>
      <c r="D6" s="743"/>
      <c r="I6" s="740"/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46" t="s">
        <v>702</v>
      </c>
      <c r="B13" s="749"/>
      <c r="C13" s="750">
        <f>D4</f>
        <v>0</v>
      </c>
      <c r="D13" s="26">
        <f>C13*B13</f>
        <v>0</v>
      </c>
      <c r="F13" s="71"/>
    </row>
    <row r="14" spans="1:9">
      <c r="A14" s="756" t="s">
        <v>711</v>
      </c>
      <c r="B14" s="747"/>
      <c r="C14" s="123">
        <f>D4</f>
        <v>0</v>
      </c>
      <c r="D14" s="26">
        <f t="shared" ref="D14:D27" si="0">C14*B14</f>
        <v>0</v>
      </c>
      <c r="F14" s="71"/>
    </row>
    <row r="15" spans="1:9">
      <c r="A15" s="746" t="s">
        <v>697</v>
      </c>
      <c r="B15" s="747"/>
      <c r="C15" s="123">
        <f>IF(D2&gt;0,(D2-0.016)*D4,0)</f>
        <v>0</v>
      </c>
      <c r="D15" s="26">
        <f t="shared" si="0"/>
        <v>0</v>
      </c>
      <c r="F15" s="763"/>
    </row>
    <row r="16" spans="1:9">
      <c r="A16" s="746" t="s">
        <v>698</v>
      </c>
      <c r="B16" s="747"/>
      <c r="C16" s="751">
        <f>IF(D2&gt;0,(D2-0.02)*D4,0)</f>
        <v>0</v>
      </c>
      <c r="D16" s="26">
        <f t="shared" si="0"/>
        <v>0</v>
      </c>
      <c r="F16" s="71"/>
    </row>
    <row r="17" spans="1:6">
      <c r="A17" s="748" t="s">
        <v>15</v>
      </c>
      <c r="B17" s="749"/>
      <c r="C17" s="123">
        <f>D4*2</f>
        <v>0</v>
      </c>
      <c r="D17" s="26">
        <f t="shared" si="0"/>
        <v>0</v>
      </c>
      <c r="F17" s="71"/>
    </row>
    <row r="18" spans="1:6">
      <c r="A18" s="746" t="s">
        <v>699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700</v>
      </c>
      <c r="B19" s="747"/>
      <c r="C19" s="123">
        <f>IF(D2&gt;0,(D2-0.022)*D4,0)</f>
        <v>0</v>
      </c>
      <c r="D19" s="26">
        <f t="shared" si="0"/>
        <v>0</v>
      </c>
      <c r="F19" s="71"/>
    </row>
    <row r="20" spans="1:6">
      <c r="A20" s="746" t="s">
        <v>18</v>
      </c>
      <c r="B20" s="747"/>
      <c r="C20" s="123">
        <f>IF(D3&gt;0,(D3-0.035)*2*D4,0)</f>
        <v>0</v>
      </c>
      <c r="D20" s="26">
        <f t="shared" si="0"/>
        <v>0</v>
      </c>
      <c r="F20" s="71"/>
    </row>
    <row r="21" spans="1:6">
      <c r="A21" s="746" t="s">
        <v>19</v>
      </c>
      <c r="B21" s="752"/>
      <c r="C21" s="123">
        <f>IF(D2&gt;0,(D2-0.016)*D4,0)</f>
        <v>0</v>
      </c>
      <c r="D21" s="26">
        <f t="shared" si="0"/>
        <v>0</v>
      </c>
      <c r="F21" s="71"/>
    </row>
    <row r="22" spans="1:6">
      <c r="A22" s="746" t="s">
        <v>20</v>
      </c>
      <c r="B22" s="752"/>
      <c r="C22" s="123">
        <f>IF(D2&gt;0,(D2-0.022)*D4,0)</f>
        <v>0</v>
      </c>
      <c r="D22" s="26">
        <f t="shared" si="0"/>
        <v>0</v>
      </c>
      <c r="F22" s="71"/>
    </row>
    <row r="23" spans="1:6">
      <c r="A23" s="746" t="s">
        <v>701</v>
      </c>
      <c r="B23" s="747"/>
      <c r="C23" s="123">
        <f>IF(D2&gt;0,(D2-0.022)*D4,0)</f>
        <v>0</v>
      </c>
      <c r="D23" s="26">
        <f t="shared" si="0"/>
        <v>0</v>
      </c>
      <c r="F23" s="71"/>
    </row>
    <row r="24" spans="1:6">
      <c r="A24" s="746" t="s">
        <v>566</v>
      </c>
      <c r="B24" s="753"/>
      <c r="C24" s="754">
        <f>D4</f>
        <v>0</v>
      </c>
      <c r="D24" s="755">
        <f t="shared" si="0"/>
        <v>0</v>
      </c>
      <c r="F24" s="71"/>
    </row>
    <row r="25" spans="1:6">
      <c r="A25" s="746" t="s">
        <v>570</v>
      </c>
      <c r="B25" s="753"/>
      <c r="C25" s="754">
        <f>D8</f>
        <v>0</v>
      </c>
      <c r="D25" s="755">
        <f t="shared" si="0"/>
        <v>0</v>
      </c>
      <c r="F25" s="71"/>
    </row>
    <row r="26" spans="1:6">
      <c r="A26" s="746" t="s">
        <v>569</v>
      </c>
      <c r="B26" s="753"/>
      <c r="C26" s="754">
        <f>D7</f>
        <v>0</v>
      </c>
      <c r="D26" s="755">
        <f t="shared" si="0"/>
        <v>0</v>
      </c>
      <c r="F26" s="71"/>
    </row>
    <row r="27" spans="1:6" ht="12" thickBot="1">
      <c r="A27" s="758" t="s">
        <v>567</v>
      </c>
      <c r="B27" s="759"/>
      <c r="C27" s="33">
        <f>D6</f>
        <v>0</v>
      </c>
      <c r="D27" s="34">
        <f t="shared" si="0"/>
        <v>0</v>
      </c>
      <c r="F27" s="71"/>
    </row>
    <row r="28" spans="1:6" ht="12" thickBot="1">
      <c r="A28" s="760" t="s">
        <v>703</v>
      </c>
      <c r="B28" s="884"/>
      <c r="C28" s="13"/>
      <c r="D28" s="764">
        <f>SUM(D12:D27)</f>
        <v>0</v>
      </c>
      <c r="E28" s="13"/>
      <c r="F28" s="71"/>
    </row>
    <row r="29" spans="1:6" ht="12" thickBot="1">
      <c r="A29" s="16"/>
      <c r="B29" s="884"/>
      <c r="C29" s="13"/>
      <c r="D29" s="13"/>
      <c r="E29" s="13"/>
      <c r="F29" s="71"/>
    </row>
    <row r="30" spans="1:6">
      <c r="A30" s="36" t="s">
        <v>35</v>
      </c>
      <c r="B30" s="886"/>
      <c r="C30" s="21"/>
      <c r="D30" s="103"/>
      <c r="F30" s="71"/>
    </row>
    <row r="31" spans="1:6">
      <c r="A31" s="746" t="s">
        <v>704</v>
      </c>
      <c r="B31" s="747"/>
      <c r="C31" s="123">
        <f>IF(D5="Нет",D4,0)</f>
        <v>0</v>
      </c>
      <c r="D31" s="26">
        <f t="shared" ref="D31:D33" si="1">C31*B31</f>
        <v>0</v>
      </c>
      <c r="F31" s="71"/>
    </row>
    <row r="32" spans="1:6">
      <c r="A32" s="746" t="s">
        <v>705</v>
      </c>
      <c r="B32" s="747"/>
      <c r="C32" s="751">
        <f>IF(AND(D5="Нет",D2&gt;0),D4*(D2-0.02),0)</f>
        <v>0</v>
      </c>
      <c r="D32" s="26">
        <f t="shared" si="1"/>
        <v>0</v>
      </c>
      <c r="F32" s="71"/>
    </row>
    <row r="33" spans="1:6" ht="12" thickBot="1">
      <c r="A33" s="758" t="s">
        <v>25</v>
      </c>
      <c r="B33" s="759"/>
      <c r="C33" s="762">
        <f>IF(AND(D2&gt;0,D5="Нет"),((D2-0.02)+0.1)*D4,0)</f>
        <v>0</v>
      </c>
      <c r="D33" s="34">
        <f t="shared" si="1"/>
        <v>0</v>
      </c>
      <c r="F33" s="71"/>
    </row>
    <row r="34" spans="1:6" ht="12" thickBot="1">
      <c r="A34" s="760" t="s">
        <v>703</v>
      </c>
      <c r="B34" s="884"/>
      <c r="C34" s="13"/>
      <c r="D34" s="761">
        <f>SUM(D31:D33)</f>
        <v>0</v>
      </c>
      <c r="E34" s="13"/>
      <c r="F34" s="71"/>
    </row>
    <row r="35" spans="1:6">
      <c r="A35" s="40"/>
      <c r="B35" s="884"/>
      <c r="C35" s="13"/>
      <c r="D35" s="13"/>
      <c r="E35" s="13"/>
      <c r="F35" s="71"/>
    </row>
    <row r="36" spans="1:6">
      <c r="A36" s="18" t="s">
        <v>706</v>
      </c>
      <c r="B36" s="884"/>
      <c r="C36" s="13"/>
      <c r="D36" s="13"/>
      <c r="E36" s="13"/>
      <c r="F36" s="71"/>
    </row>
    <row r="37" spans="1:6" ht="12" thickBot="1">
      <c r="A37" s="18"/>
      <c r="B37" s="884"/>
      <c r="C37" s="13"/>
      <c r="D37" s="13"/>
      <c r="E37" s="13"/>
      <c r="F37" s="71"/>
    </row>
    <row r="38" spans="1:6" ht="12" thickBot="1">
      <c r="A38" s="767" t="s">
        <v>712</v>
      </c>
      <c r="B38" s="768"/>
      <c r="C38" s="769">
        <f>D4</f>
        <v>0</v>
      </c>
      <c r="D38" s="770">
        <f>C38*B38</f>
        <v>0</v>
      </c>
    </row>
    <row r="39" spans="1:6" ht="12" thickBot="1">
      <c r="A39" s="760" t="s">
        <v>703</v>
      </c>
      <c r="B39" s="13"/>
      <c r="C39" s="13"/>
      <c r="D39" s="761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985" t="s">
        <v>713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</row>
    <row r="6" spans="1:9">
      <c r="A6" s="1031" t="s">
        <v>568</v>
      </c>
      <c r="B6" s="1032"/>
      <c r="C6" s="1033"/>
      <c r="D6" s="743"/>
      <c r="I6" s="740" t="s">
        <v>707</v>
      </c>
    </row>
    <row r="7" spans="1:9">
      <c r="A7" s="1036" t="s">
        <v>130</v>
      </c>
      <c r="B7" s="1037"/>
      <c r="C7" s="1037"/>
      <c r="D7" s="766"/>
      <c r="I7" s="740" t="s">
        <v>708</v>
      </c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8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8" t="s">
        <v>15</v>
      </c>
      <c r="B16" s="749"/>
      <c r="C16" s="123">
        <f>D4*2</f>
        <v>0</v>
      </c>
      <c r="D16" s="26">
        <f t="shared" si="0"/>
        <v>0</v>
      </c>
      <c r="F16" s="71"/>
    </row>
    <row r="17" spans="1:6">
      <c r="A17" s="746" t="s">
        <v>714</v>
      </c>
      <c r="B17" s="747"/>
      <c r="C17" s="751">
        <f>IF(D3&gt;0,(D3-0.035)*2*D4,0)</f>
        <v>0</v>
      </c>
      <c r="D17" s="26">
        <f t="shared" si="0"/>
        <v>0</v>
      </c>
      <c r="F17" s="71"/>
    </row>
    <row r="18" spans="1:6">
      <c r="A18" s="746" t="s">
        <v>700</v>
      </c>
      <c r="B18" s="747"/>
      <c r="C18" s="751">
        <f>IF(D2&gt;0,(D2-0.022)*D4,0)</f>
        <v>0</v>
      </c>
      <c r="D18" s="26">
        <f t="shared" si="0"/>
        <v>0</v>
      </c>
      <c r="F18" s="71"/>
    </row>
    <row r="19" spans="1:6">
      <c r="A19" s="746" t="s">
        <v>18</v>
      </c>
      <c r="B19" s="747"/>
      <c r="C19" s="751">
        <f>IF(D3&gt;0,(D3-0.035)*2*D4,0)</f>
        <v>0</v>
      </c>
      <c r="D19" s="26">
        <f t="shared" si="0"/>
        <v>0</v>
      </c>
      <c r="F19" s="71"/>
    </row>
    <row r="20" spans="1:6">
      <c r="A20" s="746" t="s">
        <v>19</v>
      </c>
      <c r="B20" s="752"/>
      <c r="C20" s="751">
        <f>IF(D2&gt;0,(D2-0.016)*D4,0)</f>
        <v>0</v>
      </c>
      <c r="D20" s="26">
        <f t="shared" si="0"/>
        <v>0</v>
      </c>
      <c r="F20" s="71"/>
    </row>
    <row r="21" spans="1:6">
      <c r="A21" s="746" t="s">
        <v>20</v>
      </c>
      <c r="B21" s="752"/>
      <c r="C21" s="751">
        <f>IF(D2&gt;0,(D2-0.022)*D4,0)</f>
        <v>0</v>
      </c>
      <c r="D21" s="26">
        <f t="shared" si="0"/>
        <v>0</v>
      </c>
      <c r="F21" s="71"/>
    </row>
    <row r="22" spans="1:6">
      <c r="A22" s="746" t="s">
        <v>715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716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717</v>
      </c>
      <c r="B24" s="753"/>
      <c r="C24" s="771">
        <f>IF(D2&gt;0,(D2-0.02)*D4,0)</f>
        <v>0</v>
      </c>
      <c r="D24" s="755">
        <f t="shared" si="0"/>
        <v>0</v>
      </c>
      <c r="F24" s="71"/>
    </row>
    <row r="25" spans="1:6">
      <c r="A25" s="746" t="s">
        <v>566</v>
      </c>
      <c r="B25" s="753"/>
      <c r="C25" s="771">
        <f>D4</f>
        <v>0</v>
      </c>
      <c r="D25" s="755">
        <f t="shared" si="0"/>
        <v>0</v>
      </c>
      <c r="F25" s="71"/>
    </row>
    <row r="26" spans="1:6">
      <c r="A26" s="746" t="s">
        <v>570</v>
      </c>
      <c r="B26" s="753"/>
      <c r="C26" s="771">
        <f>D8</f>
        <v>0</v>
      </c>
      <c r="D26" s="755">
        <f t="shared" si="0"/>
        <v>0</v>
      </c>
      <c r="F26" s="71"/>
    </row>
    <row r="27" spans="1:6">
      <c r="A27" s="746" t="s">
        <v>569</v>
      </c>
      <c r="B27" s="753"/>
      <c r="C27" s="771">
        <f>D7</f>
        <v>0</v>
      </c>
      <c r="D27" s="755">
        <f t="shared" si="0"/>
        <v>0</v>
      </c>
      <c r="F27" s="71"/>
    </row>
    <row r="28" spans="1:6" ht="12" thickBot="1">
      <c r="A28" s="758" t="s">
        <v>567</v>
      </c>
      <c r="B28" s="759"/>
      <c r="C28" s="762">
        <f>D6</f>
        <v>0</v>
      </c>
      <c r="D28" s="34">
        <f t="shared" si="0"/>
        <v>0</v>
      </c>
      <c r="F28" s="71"/>
    </row>
    <row r="29" spans="1:6" ht="12" thickBot="1">
      <c r="A29" s="760" t="s">
        <v>703</v>
      </c>
      <c r="B29" s="884"/>
      <c r="C29" s="13"/>
      <c r="D29" s="764"/>
      <c r="E29" s="13"/>
      <c r="F29" s="71"/>
    </row>
    <row r="30" spans="1:6" ht="12" thickBot="1">
      <c r="A30" s="16"/>
      <c r="B30" s="884"/>
      <c r="C30" s="13"/>
      <c r="D30" s="13"/>
      <c r="E30" s="13"/>
      <c r="F30" s="71"/>
    </row>
    <row r="31" spans="1:6">
      <c r="A31" s="36" t="s">
        <v>35</v>
      </c>
      <c r="B31" s="886"/>
      <c r="C31" s="21"/>
      <c r="D31" s="103"/>
      <c r="F31" s="71"/>
    </row>
    <row r="32" spans="1:6" ht="12" thickBot="1">
      <c r="A32" s="758" t="s">
        <v>25</v>
      </c>
      <c r="B32" s="759"/>
      <c r="C32" s="762">
        <f>IF(AND(D2&gt;0,D6="Нет"),((D2-0.02)+0.1)*D4,0)</f>
        <v>0</v>
      </c>
      <c r="D32" s="34">
        <f t="shared" ref="D32" si="1">C32*B32</f>
        <v>0</v>
      </c>
      <c r="F32" s="71"/>
    </row>
    <row r="33" spans="1:6" ht="12" thickBot="1">
      <c r="A33" s="760" t="s">
        <v>703</v>
      </c>
      <c r="B33" s="884"/>
      <c r="C33" s="13"/>
      <c r="D33" s="761"/>
      <c r="E33" s="13"/>
      <c r="F33" s="71"/>
    </row>
    <row r="34" spans="1:6">
      <c r="A34" s="40"/>
      <c r="B34" s="884"/>
      <c r="C34" s="13"/>
      <c r="D34" s="13"/>
      <c r="E34" s="13"/>
      <c r="F34" s="71"/>
    </row>
    <row r="35" spans="1:6">
      <c r="A35" s="18" t="s">
        <v>706</v>
      </c>
      <c r="B35" s="884"/>
      <c r="C35" s="13"/>
      <c r="D35" s="13"/>
      <c r="E35" s="13"/>
      <c r="F35" s="71"/>
    </row>
    <row r="36" spans="1:6" ht="12" thickBot="1">
      <c r="A36" s="18"/>
      <c r="B36" s="884"/>
      <c r="C36" s="13"/>
      <c r="D36" s="13"/>
      <c r="E36" s="13"/>
      <c r="F36" s="71"/>
    </row>
    <row r="37" spans="1:6" ht="12" thickBot="1">
      <c r="A37" s="767" t="s">
        <v>712</v>
      </c>
      <c r="B37" s="768"/>
      <c r="C37" s="769">
        <f>IF(D8="Да",D4,0)</f>
        <v>0</v>
      </c>
      <c r="D37" s="770">
        <f>C37*B37</f>
        <v>0</v>
      </c>
      <c r="E37" s="71"/>
    </row>
    <row r="38" spans="1:6" ht="12" thickBot="1">
      <c r="A38" s="760" t="s">
        <v>703</v>
      </c>
      <c r="B38" s="13"/>
      <c r="C38" s="13"/>
      <c r="D38" s="764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985" t="s">
        <v>718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5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699</v>
      </c>
      <c r="B16" s="747"/>
      <c r="C16" s="123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123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123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123">
        <f>IF(D2&gt;0,(D2-0.022)*D4,0)</f>
        <v>0</v>
      </c>
      <c r="D20" s="26">
        <f t="shared" si="0"/>
        <v>0</v>
      </c>
      <c r="F20" s="71"/>
    </row>
    <row r="21" spans="1:6">
      <c r="A21" s="757" t="s">
        <v>702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566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570</v>
      </c>
      <c r="B23" s="753"/>
      <c r="C23" s="754">
        <f>D8</f>
        <v>0</v>
      </c>
      <c r="D23" s="755">
        <f t="shared" si="0"/>
        <v>0</v>
      </c>
      <c r="F23" s="71"/>
    </row>
    <row r="24" spans="1:6">
      <c r="A24" s="746" t="s">
        <v>569</v>
      </c>
      <c r="B24" s="753"/>
      <c r="C24" s="754">
        <f>D7</f>
        <v>0</v>
      </c>
      <c r="D24" s="755">
        <f t="shared" si="0"/>
        <v>0</v>
      </c>
      <c r="F24" s="71"/>
    </row>
    <row r="25" spans="1:6" ht="12" thickBot="1">
      <c r="A25" s="758" t="s">
        <v>567</v>
      </c>
      <c r="B25" s="759"/>
      <c r="C25" s="33">
        <f>D6</f>
        <v>0</v>
      </c>
      <c r="D25" s="34">
        <f t="shared" si="0"/>
        <v>0</v>
      </c>
      <c r="F25" s="71"/>
    </row>
    <row r="26" spans="1:6" ht="12" thickBot="1">
      <c r="A26" s="760" t="s">
        <v>703</v>
      </c>
      <c r="B26" s="884"/>
      <c r="C26" s="13"/>
      <c r="D26" s="761"/>
      <c r="E26" s="13"/>
      <c r="F26" s="71"/>
    </row>
    <row r="27" spans="1:6" ht="12" thickBot="1">
      <c r="A27" s="16"/>
      <c r="B27" s="884"/>
      <c r="C27" s="13"/>
      <c r="D27" s="13"/>
      <c r="E27" s="13"/>
      <c r="F27" s="71"/>
    </row>
    <row r="28" spans="1:6">
      <c r="A28" s="36" t="s">
        <v>35</v>
      </c>
      <c r="B28" s="886"/>
      <c r="C28" s="21"/>
      <c r="D28" s="103"/>
      <c r="F28" s="71"/>
    </row>
    <row r="29" spans="1:6">
      <c r="A29" s="746" t="s">
        <v>704</v>
      </c>
      <c r="B29" s="747"/>
      <c r="C29" s="123">
        <f>IF(D5="Нет",D4,0)</f>
        <v>0</v>
      </c>
      <c r="D29" s="26">
        <f t="shared" ref="D29:D31" si="1">C29*B29</f>
        <v>0</v>
      </c>
      <c r="F29" s="71"/>
    </row>
    <row r="30" spans="1:6">
      <c r="A30" s="746" t="s">
        <v>705</v>
      </c>
      <c r="B30" s="747"/>
      <c r="C30" s="751">
        <f>IF(AND(D5="Нет",D2&gt;0),D4*(D2-0.02),0)</f>
        <v>0</v>
      </c>
      <c r="D30" s="26">
        <f t="shared" si="1"/>
        <v>0</v>
      </c>
      <c r="F30" s="71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si="1"/>
        <v>0</v>
      </c>
      <c r="F31" s="71"/>
    </row>
    <row r="32" spans="1:6" ht="12" thickBot="1">
      <c r="A32" s="760" t="s">
        <v>703</v>
      </c>
      <c r="B32" s="884"/>
      <c r="C32" s="13"/>
      <c r="D32" s="761"/>
      <c r="E32" s="13"/>
      <c r="F32" s="71"/>
    </row>
    <row r="33" spans="1:6">
      <c r="A33" s="40"/>
      <c r="B33" s="884"/>
      <c r="C33" s="13"/>
      <c r="D33" s="13"/>
      <c r="E33" s="13"/>
      <c r="F33" s="71"/>
    </row>
    <row r="34" spans="1:6">
      <c r="A34" s="18" t="s">
        <v>706</v>
      </c>
      <c r="B34" s="884"/>
      <c r="C34" s="13"/>
      <c r="D34" s="13"/>
      <c r="E34" s="13"/>
      <c r="F34" s="71"/>
    </row>
    <row r="35" spans="1:6" ht="12" thickBot="1">
      <c r="A35" s="18"/>
      <c r="B35" s="884"/>
      <c r="C35" s="13"/>
      <c r="D35" s="13"/>
      <c r="E35" s="13"/>
      <c r="F35" s="71"/>
    </row>
    <row r="36" spans="1:6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6" ht="12" thickBot="1">
      <c r="A37" s="760" t="s">
        <v>703</v>
      </c>
      <c r="B37" s="13"/>
      <c r="C37" s="13"/>
      <c r="D37" s="761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985" t="s">
        <v>720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 ht="12" customHeight="1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7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714</v>
      </c>
      <c r="B16" s="747"/>
      <c r="C16" s="751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751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751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751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751">
        <f>IF(D2&gt;0,(D2-0.022)*D4,0)</f>
        <v>0</v>
      </c>
      <c r="D20" s="26">
        <f t="shared" si="0"/>
        <v>0</v>
      </c>
      <c r="F20" s="71"/>
    </row>
    <row r="21" spans="1:6">
      <c r="A21" s="746" t="s">
        <v>715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716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566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570</v>
      </c>
      <c r="B24" s="753"/>
      <c r="C24" s="754">
        <f>D8</f>
        <v>0</v>
      </c>
      <c r="D24" s="755">
        <f t="shared" si="0"/>
        <v>0</v>
      </c>
      <c r="F24" s="71"/>
    </row>
    <row r="25" spans="1:6">
      <c r="A25" s="746" t="s">
        <v>569</v>
      </c>
      <c r="B25" s="753"/>
      <c r="C25" s="754">
        <f>D7</f>
        <v>0</v>
      </c>
      <c r="D25" s="755">
        <f t="shared" si="0"/>
        <v>0</v>
      </c>
      <c r="E25" s="13"/>
      <c r="F25" s="71"/>
    </row>
    <row r="26" spans="1:6">
      <c r="A26" s="746" t="s">
        <v>567</v>
      </c>
      <c r="B26" s="747"/>
      <c r="C26" s="123">
        <f>D6</f>
        <v>0</v>
      </c>
      <c r="D26" s="26">
        <f t="shared" si="0"/>
        <v>0</v>
      </c>
      <c r="E26" s="13"/>
      <c r="F26" s="71"/>
    </row>
    <row r="27" spans="1:6" ht="12" thickBot="1">
      <c r="A27" s="765" t="s">
        <v>717</v>
      </c>
      <c r="B27" s="775"/>
      <c r="C27" s="776">
        <f>IF(D2&gt;0,(D2-0.02)*D4,0)</f>
        <v>0</v>
      </c>
      <c r="D27" s="777">
        <f t="shared" si="0"/>
        <v>0</v>
      </c>
      <c r="E27" s="13"/>
      <c r="F27" s="71"/>
    </row>
    <row r="28" spans="1:6" ht="12" thickBot="1">
      <c r="A28" s="760" t="s">
        <v>703</v>
      </c>
      <c r="B28" s="884"/>
      <c r="C28" s="13"/>
      <c r="D28" s="764"/>
      <c r="E28" s="13"/>
      <c r="F28" s="71"/>
    </row>
    <row r="29" spans="1:6" ht="12" thickBot="1">
      <c r="A29" s="16"/>
      <c r="B29" s="884"/>
      <c r="C29" s="13"/>
      <c r="D29" s="13"/>
      <c r="E29" s="71"/>
    </row>
    <row r="30" spans="1:6">
      <c r="A30" s="36" t="s">
        <v>35</v>
      </c>
      <c r="B30" s="886"/>
      <c r="C30" s="21"/>
      <c r="D30" s="103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60" t="s">
        <v>703</v>
      </c>
      <c r="B32" s="884"/>
      <c r="C32" s="13"/>
      <c r="D32" s="761"/>
    </row>
    <row r="33" spans="1:4">
      <c r="A33" s="40"/>
      <c r="B33" s="884"/>
      <c r="C33" s="13"/>
      <c r="D33" s="13"/>
    </row>
    <row r="34" spans="1:4">
      <c r="A34" s="18" t="s">
        <v>706</v>
      </c>
      <c r="B34" s="884"/>
      <c r="C34" s="13"/>
      <c r="D34" s="13"/>
    </row>
    <row r="35" spans="1:4" ht="12" thickBot="1">
      <c r="A35" s="18"/>
      <c r="B35" s="884"/>
      <c r="C35" s="13"/>
      <c r="D35" s="13"/>
    </row>
    <row r="36" spans="1:4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4" ht="12" thickBot="1">
      <c r="A37" s="760" t="s">
        <v>703</v>
      </c>
      <c r="B37" s="13"/>
      <c r="C37" s="13"/>
      <c r="D37" s="761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981" t="s">
        <v>133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</row>
    <row r="3" spans="1:12">
      <c r="A3" s="45" t="s">
        <v>6</v>
      </c>
      <c r="B3" s="901">
        <v>0.6</v>
      </c>
      <c r="C3" s="983" t="s">
        <v>30</v>
      </c>
      <c r="D3" s="1009"/>
      <c r="E3" s="984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902">
        <v>1.6</v>
      </c>
      <c r="C4" s="1052" t="s">
        <v>30</v>
      </c>
      <c r="D4" s="1011"/>
      <c r="E4" s="1012"/>
      <c r="G4" s="990"/>
      <c r="H4" s="991"/>
      <c r="I4" s="991"/>
      <c r="J4" s="991"/>
      <c r="K4" s="991"/>
      <c r="L4" s="992"/>
    </row>
    <row r="5" spans="1:12">
      <c r="A5" s="46" t="s">
        <v>36</v>
      </c>
      <c r="B5" s="902">
        <v>2</v>
      </c>
      <c r="C5" s="1043" t="s">
        <v>37</v>
      </c>
      <c r="D5" s="1014"/>
      <c r="E5" s="1015"/>
    </row>
    <row r="6" spans="1:12">
      <c r="A6" s="46" t="s">
        <v>31</v>
      </c>
      <c r="B6" s="903">
        <v>1</v>
      </c>
      <c r="C6" s="1043" t="s">
        <v>33</v>
      </c>
      <c r="D6" s="1027"/>
      <c r="E6" s="1028"/>
    </row>
    <row r="7" spans="1:12">
      <c r="A7" s="46" t="s">
        <v>137</v>
      </c>
      <c r="B7" s="903">
        <v>2</v>
      </c>
      <c r="C7" s="978" t="s">
        <v>138</v>
      </c>
      <c r="D7" s="1044"/>
      <c r="E7" s="1045"/>
    </row>
    <row r="8" spans="1:12" ht="24" customHeight="1">
      <c r="A8" s="49" t="s">
        <v>32</v>
      </c>
      <c r="B8" s="904">
        <v>2</v>
      </c>
      <c r="C8" s="980" t="s">
        <v>34</v>
      </c>
      <c r="D8" s="1023"/>
      <c r="E8" s="975"/>
    </row>
    <row r="9" spans="1:12">
      <c r="A9" s="138" t="s">
        <v>53</v>
      </c>
      <c r="B9" s="905">
        <v>1</v>
      </c>
      <c r="C9" s="1046" t="s">
        <v>30</v>
      </c>
      <c r="D9" s="1047"/>
      <c r="E9" s="1048"/>
    </row>
    <row r="10" spans="1:12">
      <c r="A10" s="152" t="s">
        <v>571</v>
      </c>
      <c r="B10" s="905">
        <v>1</v>
      </c>
      <c r="C10" s="1049"/>
      <c r="D10" s="1050"/>
      <c r="E10" s="1051"/>
    </row>
    <row r="11" spans="1:12" ht="12" thickBot="1">
      <c r="A11" s="9" t="s">
        <v>568</v>
      </c>
      <c r="B11" s="906">
        <v>50</v>
      </c>
      <c r="C11" s="1040"/>
      <c r="D11" s="1041"/>
      <c r="E11" s="1042"/>
    </row>
    <row r="12" spans="1:12" ht="12" thickBot="1"/>
    <row r="13" spans="1:12" ht="12.75">
      <c r="A13" s="297" t="s">
        <v>7</v>
      </c>
      <c r="B13" s="298" t="s">
        <v>85</v>
      </c>
      <c r="C13" s="298" t="s">
        <v>0</v>
      </c>
      <c r="D13" s="58" t="s">
        <v>4</v>
      </c>
      <c r="E13" s="299" t="s">
        <v>8</v>
      </c>
    </row>
    <row r="14" spans="1:12">
      <c r="A14" s="23" t="s">
        <v>578</v>
      </c>
      <c r="B14" s="294"/>
      <c r="C14" s="296">
        <f>(IF(B5=2,B3-0.031,B3+0.005))*B9</f>
        <v>0.56899999999999995</v>
      </c>
      <c r="D14" s="843">
        <v>9</v>
      </c>
      <c r="E14" s="60">
        <f t="shared" ref="E14:E27" si="0">C14*D14</f>
        <v>5.1209999999999996</v>
      </c>
    </row>
    <row r="15" spans="1:12">
      <c r="A15" s="52" t="s">
        <v>112</v>
      </c>
      <c r="B15" s="294"/>
      <c r="C15" s="296">
        <f>2*B9</f>
        <v>2</v>
      </c>
      <c r="D15" s="843"/>
      <c r="E15" s="60">
        <f t="shared" si="0"/>
        <v>0</v>
      </c>
    </row>
    <row r="16" spans="1:12">
      <c r="A16" s="27" t="s">
        <v>108</v>
      </c>
      <c r="B16" s="294"/>
      <c r="C16" s="296">
        <f>(IF(B5=1,B3,B3-0.036))*B9</f>
        <v>0.56399999999999995</v>
      </c>
      <c r="D16" s="843"/>
      <c r="E16" s="60">
        <f t="shared" si="0"/>
        <v>0</v>
      </c>
    </row>
    <row r="17" spans="1:5">
      <c r="A17" s="23" t="s">
        <v>50</v>
      </c>
      <c r="B17" s="294"/>
      <c r="C17" s="296">
        <f>C14</f>
        <v>0.56899999999999995</v>
      </c>
      <c r="D17" s="843"/>
      <c r="E17" s="60">
        <f t="shared" si="0"/>
        <v>0</v>
      </c>
    </row>
    <row r="18" spans="1:5">
      <c r="A18" s="23" t="s">
        <v>49</v>
      </c>
      <c r="B18" s="294"/>
      <c r="C18" s="296">
        <f>C16</f>
        <v>0.56399999999999995</v>
      </c>
      <c r="D18" s="843"/>
      <c r="E18" s="60">
        <f t="shared" si="0"/>
        <v>0</v>
      </c>
    </row>
    <row r="19" spans="1:5">
      <c r="A19" s="52" t="s">
        <v>113</v>
      </c>
      <c r="B19" s="294"/>
      <c r="C19" s="295">
        <f>B3*B9</f>
        <v>0.6</v>
      </c>
      <c r="D19" s="840"/>
      <c r="E19" s="144">
        <f t="shared" si="0"/>
        <v>0</v>
      </c>
    </row>
    <row r="20" spans="1:5">
      <c r="A20" s="52" t="s">
        <v>114</v>
      </c>
      <c r="B20" s="294"/>
      <c r="C20" s="295">
        <f>B9*2</f>
        <v>2</v>
      </c>
      <c r="D20" s="840"/>
      <c r="E20" s="144">
        <f t="shared" si="0"/>
        <v>0</v>
      </c>
    </row>
    <row r="21" spans="1:5">
      <c r="A21" s="101" t="s">
        <v>40</v>
      </c>
      <c r="B21" s="294"/>
      <c r="C21" s="296">
        <f>(IF(B6=1,B4*2+0.2,0))*B9</f>
        <v>3.4000000000000004</v>
      </c>
      <c r="D21" s="843"/>
      <c r="E21" s="60">
        <f t="shared" si="0"/>
        <v>0</v>
      </c>
    </row>
    <row r="22" spans="1:5">
      <c r="A22" s="102" t="s">
        <v>135</v>
      </c>
      <c r="B22" s="294"/>
      <c r="C22" s="296">
        <f>(IF(B6=1,2,0))*B9</f>
        <v>2</v>
      </c>
      <c r="D22" s="843"/>
      <c r="E22" s="60">
        <f t="shared" si="0"/>
        <v>0</v>
      </c>
    </row>
    <row r="23" spans="1:5">
      <c r="A23" s="52" t="s">
        <v>111</v>
      </c>
      <c r="B23" s="294"/>
      <c r="C23" s="296">
        <f>(IF(B8=3,2,0))*B9</f>
        <v>0</v>
      </c>
      <c r="D23" s="843"/>
      <c r="E23" s="60">
        <f t="shared" si="0"/>
        <v>0</v>
      </c>
    </row>
    <row r="24" spans="1:5">
      <c r="A24" s="52" t="s">
        <v>110</v>
      </c>
      <c r="B24" s="294"/>
      <c r="C24" s="296">
        <f>(IF(B8=3,2,0))*B9</f>
        <v>0</v>
      </c>
      <c r="D24" s="843"/>
      <c r="E24" s="60">
        <f t="shared" si="0"/>
        <v>0</v>
      </c>
    </row>
    <row r="25" spans="1:5">
      <c r="A25" s="102" t="s">
        <v>136</v>
      </c>
      <c r="B25" s="294"/>
      <c r="C25" s="296">
        <f>(IF(B8=3,(IF(B7=2,2,0)),0))*B9</f>
        <v>0</v>
      </c>
      <c r="D25" s="843"/>
      <c r="E25" s="60"/>
    </row>
    <row r="26" spans="1:5">
      <c r="A26" s="102" t="s">
        <v>134</v>
      </c>
      <c r="B26" s="294"/>
      <c r="C26" s="296">
        <f>(IF(B8=2,2,0))*B9</f>
        <v>2</v>
      </c>
      <c r="D26" s="843"/>
      <c r="E26" s="60">
        <f t="shared" si="0"/>
        <v>0</v>
      </c>
    </row>
    <row r="27" spans="1:5">
      <c r="A27" s="52" t="s">
        <v>109</v>
      </c>
      <c r="B27" s="294"/>
      <c r="C27" s="296">
        <f>(IF(B8=2,2,0))*B9</f>
        <v>2</v>
      </c>
      <c r="D27" s="843"/>
      <c r="E27" s="60">
        <f t="shared" si="0"/>
        <v>0</v>
      </c>
    </row>
    <row r="28" spans="1:5">
      <c r="A28" s="52" t="s">
        <v>232</v>
      </c>
      <c r="B28" s="294"/>
      <c r="C28" s="296">
        <f>B9</f>
        <v>1</v>
      </c>
      <c r="D28" s="843"/>
      <c r="E28" s="60">
        <f>C28*D28</f>
        <v>0</v>
      </c>
    </row>
    <row r="29" spans="1:5">
      <c r="A29" s="23" t="s">
        <v>566</v>
      </c>
      <c r="B29" s="24"/>
      <c r="C29" s="135">
        <f>B9</f>
        <v>1</v>
      </c>
      <c r="D29" s="898"/>
      <c r="E29" s="140">
        <f>D29*C29</f>
        <v>0</v>
      </c>
    </row>
    <row r="30" spans="1:5">
      <c r="A30" s="133" t="s">
        <v>579</v>
      </c>
      <c r="B30" s="127"/>
      <c r="C30" s="136">
        <f>B10</f>
        <v>1</v>
      </c>
      <c r="D30" s="899"/>
      <c r="E30" s="141">
        <f>C30*D30</f>
        <v>0</v>
      </c>
    </row>
    <row r="31" spans="1:5" ht="12" thickBot="1">
      <c r="A31" s="23" t="s">
        <v>569</v>
      </c>
      <c r="B31" s="134"/>
      <c r="C31" s="137">
        <f>B11</f>
        <v>50</v>
      </c>
      <c r="D31" s="900"/>
      <c r="E31" s="142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981" t="s">
        <v>161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  <c r="G2" s="987" t="s">
        <v>122</v>
      </c>
      <c r="H2" s="988"/>
      <c r="I2" s="988"/>
      <c r="J2" s="988"/>
      <c r="K2" s="988"/>
      <c r="L2" s="989"/>
    </row>
    <row r="3" spans="1:12" ht="12" thickBot="1">
      <c r="A3" s="45" t="s">
        <v>6</v>
      </c>
      <c r="B3" s="901">
        <v>3</v>
      </c>
      <c r="C3" s="983" t="s">
        <v>30</v>
      </c>
      <c r="D3" s="1009"/>
      <c r="E3" s="984"/>
      <c r="G3" s="990"/>
      <c r="H3" s="991"/>
      <c r="I3" s="991"/>
      <c r="J3" s="991"/>
      <c r="K3" s="991"/>
      <c r="L3" s="992"/>
    </row>
    <row r="4" spans="1:12">
      <c r="A4" s="46" t="s">
        <v>1</v>
      </c>
      <c r="B4" s="907">
        <v>1</v>
      </c>
      <c r="C4" s="1061" t="s">
        <v>30</v>
      </c>
      <c r="D4" s="1056"/>
      <c r="E4" s="1057"/>
    </row>
    <row r="5" spans="1:12">
      <c r="A5" s="46" t="s">
        <v>60</v>
      </c>
      <c r="B5" s="907">
        <v>25</v>
      </c>
      <c r="C5" s="1055" t="s">
        <v>61</v>
      </c>
      <c r="D5" s="1062"/>
      <c r="E5" s="1063"/>
    </row>
    <row r="6" spans="1:12">
      <c r="A6" s="46" t="s">
        <v>55</v>
      </c>
      <c r="B6" s="908">
        <v>0</v>
      </c>
      <c r="C6" s="1053" t="s">
        <v>33</v>
      </c>
      <c r="D6" s="1037"/>
      <c r="E6" s="1054"/>
      <c r="H6" s="71"/>
      <c r="I6" s="71"/>
      <c r="J6" s="71"/>
    </row>
    <row r="7" spans="1:12">
      <c r="A7" s="47" t="s">
        <v>59</v>
      </c>
      <c r="B7" s="909">
        <v>0</v>
      </c>
      <c r="C7" s="1055" t="s">
        <v>33</v>
      </c>
      <c r="D7" s="1056"/>
      <c r="E7" s="1057"/>
      <c r="H7" s="71"/>
      <c r="I7" s="71"/>
      <c r="J7" s="71"/>
    </row>
    <row r="8" spans="1:12">
      <c r="A8" s="47" t="s">
        <v>56</v>
      </c>
      <c r="B8" s="909">
        <v>0</v>
      </c>
      <c r="C8" s="1055" t="s">
        <v>33</v>
      </c>
      <c r="D8" s="1056"/>
      <c r="E8" s="1057"/>
      <c r="H8" s="72"/>
      <c r="I8" s="71"/>
      <c r="J8" s="71"/>
    </row>
    <row r="9" spans="1:12">
      <c r="A9" s="47" t="s">
        <v>57</v>
      </c>
      <c r="B9" s="910">
        <v>1</v>
      </c>
      <c r="C9" s="1053" t="s">
        <v>33</v>
      </c>
      <c r="D9" s="1037"/>
      <c r="E9" s="1054"/>
      <c r="H9" s="71"/>
      <c r="I9" s="71"/>
      <c r="J9" s="71"/>
    </row>
    <row r="10" spans="1:12">
      <c r="A10" s="47" t="s">
        <v>162</v>
      </c>
      <c r="B10" s="910">
        <v>1</v>
      </c>
      <c r="C10" s="1073"/>
      <c r="D10" s="1074"/>
      <c r="E10" s="1075"/>
      <c r="H10" s="71"/>
      <c r="I10" s="71"/>
      <c r="J10" s="71"/>
    </row>
    <row r="11" spans="1:12">
      <c r="A11" s="138" t="s">
        <v>53</v>
      </c>
      <c r="B11" s="911">
        <v>1</v>
      </c>
      <c r="C11" s="1070" t="s">
        <v>30</v>
      </c>
      <c r="D11" s="1071"/>
      <c r="E11" s="1072"/>
      <c r="H11" s="71"/>
      <c r="I11" s="71"/>
      <c r="J11" s="71"/>
    </row>
    <row r="12" spans="1:12">
      <c r="A12" s="152" t="s">
        <v>157</v>
      </c>
      <c r="B12" s="911">
        <v>1</v>
      </c>
      <c r="C12" s="157"/>
      <c r="D12" s="157"/>
      <c r="E12" s="158"/>
      <c r="H12" s="71"/>
      <c r="I12" s="71"/>
      <c r="J12" s="71"/>
    </row>
    <row r="13" spans="1:12">
      <c r="A13" s="152" t="s">
        <v>144</v>
      </c>
      <c r="B13" s="911">
        <v>2</v>
      </c>
      <c r="C13" s="157"/>
      <c r="D13" s="157"/>
      <c r="E13" s="158"/>
      <c r="H13" s="71"/>
      <c r="I13" s="71"/>
      <c r="J13" s="71"/>
    </row>
    <row r="14" spans="1:12" ht="12" thickBot="1">
      <c r="A14" s="139" t="s">
        <v>147</v>
      </c>
      <c r="B14" s="912">
        <v>3</v>
      </c>
      <c r="C14" s="1064"/>
      <c r="D14" s="1065"/>
      <c r="E14" s="1066"/>
      <c r="H14" s="71"/>
      <c r="I14" s="71"/>
      <c r="J14" s="71"/>
    </row>
    <row r="15" spans="1:12">
      <c r="A15" s="61" t="s">
        <v>62</v>
      </c>
      <c r="B15" s="913">
        <f>IF(B5=25,IF(B3&lt;0.806,2,IF(B3&lt;1.3,3,IF(B3&lt;1.801,4,IF(B3&lt;2.301,5,IF(B3&lt;2.801,6,7))))),IF(B3&lt;=0.55,2,IF(B3&lt;=0.9,3,IF(B3&lt;=1.25,4,IF(B3&lt;=1.6,5,IF(B3&lt;=1.95,6,7))))))</f>
        <v>7</v>
      </c>
      <c r="C15" s="1067" t="s">
        <v>29</v>
      </c>
      <c r="D15" s="1068"/>
      <c r="E15" s="1069"/>
      <c r="G15" s="73"/>
      <c r="H15" s="71"/>
      <c r="I15" s="71"/>
      <c r="J15" s="71"/>
    </row>
    <row r="16" spans="1:12" ht="12" thickBot="1">
      <c r="H16" s="71"/>
      <c r="I16" s="71"/>
      <c r="J16" s="71"/>
    </row>
    <row r="17" spans="1:10" ht="13.5" thickBot="1">
      <c r="A17" s="62" t="s">
        <v>7</v>
      </c>
      <c r="B17" s="63" t="s">
        <v>0</v>
      </c>
      <c r="C17" s="64" t="s">
        <v>4</v>
      </c>
      <c r="D17" s="65" t="s">
        <v>8</v>
      </c>
      <c r="H17" s="71"/>
      <c r="I17" s="71"/>
      <c r="J17" s="71"/>
    </row>
    <row r="18" spans="1:10">
      <c r="A18" s="78" t="s">
        <v>65</v>
      </c>
      <c r="B18" s="79">
        <f>(IF(B15=2,((B4+0.3)*2),IF(B15=3,((B4+0.3)*2),IF(B15=4,((B4+0.3)*4),IF(B15=5,((B4+0.3)*3),((B4+0.3)*4))))))*B11</f>
        <v>5.2</v>
      </c>
      <c r="C18" s="914">
        <v>9</v>
      </c>
      <c r="D18" s="149">
        <f t="shared" ref="D18:D47" si="0">B18*C18</f>
        <v>46.800000000000004</v>
      </c>
      <c r="H18" s="71"/>
      <c r="I18" s="71"/>
      <c r="J18" s="71"/>
    </row>
    <row r="19" spans="1:10">
      <c r="A19" s="80" t="s">
        <v>66</v>
      </c>
      <c r="B19" s="82">
        <f>IF(B8=1,2*B11,0)</f>
        <v>0</v>
      </c>
      <c r="C19" s="843"/>
      <c r="D19" s="66">
        <f t="shared" si="0"/>
        <v>0</v>
      </c>
    </row>
    <row r="20" spans="1:10">
      <c r="A20" s="80" t="s">
        <v>67</v>
      </c>
      <c r="B20" s="82">
        <f>B15*B11</f>
        <v>7</v>
      </c>
      <c r="C20" s="843"/>
      <c r="D20" s="66">
        <f t="shared" si="0"/>
        <v>0</v>
      </c>
    </row>
    <row r="21" spans="1:10">
      <c r="A21" s="161" t="s">
        <v>158</v>
      </c>
      <c r="B21" s="82">
        <f>B15*B11</f>
        <v>7</v>
      </c>
      <c r="C21" s="843"/>
      <c r="D21" s="66">
        <f t="shared" si="0"/>
        <v>0</v>
      </c>
    </row>
    <row r="22" spans="1:10">
      <c r="A22" s="80" t="s">
        <v>68</v>
      </c>
      <c r="B22" s="82">
        <f>(B3-0.002)*B11</f>
        <v>2.9980000000000002</v>
      </c>
      <c r="C22" s="843"/>
      <c r="D22" s="66">
        <f t="shared" si="0"/>
        <v>0</v>
      </c>
    </row>
    <row r="23" spans="1:10">
      <c r="A23" s="83" t="s">
        <v>69</v>
      </c>
      <c r="B23" s="82">
        <f>B22</f>
        <v>2.9980000000000002</v>
      </c>
      <c r="C23" s="843"/>
      <c r="D23" s="66">
        <f t="shared" si="0"/>
        <v>0</v>
      </c>
    </row>
    <row r="24" spans="1:10">
      <c r="A24" s="83" t="s">
        <v>70</v>
      </c>
      <c r="B24" s="82">
        <f>IF(B5=16,B11*B15,0)</f>
        <v>0</v>
      </c>
      <c r="C24" s="843"/>
      <c r="D24" s="66">
        <f t="shared" si="0"/>
        <v>0</v>
      </c>
      <c r="G24" s="73"/>
    </row>
    <row r="25" spans="1:10">
      <c r="A25" s="83" t="s">
        <v>71</v>
      </c>
      <c r="B25" s="82">
        <f>IF(B5=25,B11*B15,0)</f>
        <v>7</v>
      </c>
      <c r="C25" s="843"/>
      <c r="D25" s="66">
        <f>B25*C25</f>
        <v>0</v>
      </c>
      <c r="G25" s="73"/>
    </row>
    <row r="26" spans="1:10">
      <c r="A26" s="83" t="s">
        <v>72</v>
      </c>
      <c r="B26" s="82">
        <f>(IF(B3&lt;1.5,2,IF(B3&lt;1.8,3,IF(B3&lt;2.3,4,IF(B3&lt;2.8,5,6)))))*B11</f>
        <v>6</v>
      </c>
      <c r="C26" s="843"/>
      <c r="D26" s="66">
        <f t="shared" si="0"/>
        <v>0</v>
      </c>
    </row>
    <row r="27" spans="1:10">
      <c r="A27" s="83" t="s">
        <v>73</v>
      </c>
      <c r="B27" s="82">
        <f>(IF(B9=0,0,IF(B3&lt;1.5,2,IF(B3&lt;1.8,3,IF(B3&lt;2.3,4,IF(B3&lt;2.8,5,6))))))*B11</f>
        <v>6</v>
      </c>
      <c r="C27" s="843"/>
      <c r="D27" s="66">
        <f t="shared" si="0"/>
        <v>0</v>
      </c>
    </row>
    <row r="28" spans="1:10">
      <c r="A28" s="84" t="s">
        <v>74</v>
      </c>
      <c r="B28" s="74">
        <f>2*B11</f>
        <v>2</v>
      </c>
      <c r="C28" s="843"/>
      <c r="D28" s="66">
        <f t="shared" si="0"/>
        <v>0</v>
      </c>
    </row>
    <row r="29" spans="1:10">
      <c r="A29" s="84" t="s">
        <v>75</v>
      </c>
      <c r="B29" s="74">
        <f>B28</f>
        <v>2</v>
      </c>
      <c r="C29" s="843"/>
      <c r="D29" s="66">
        <f t="shared" si="0"/>
        <v>0</v>
      </c>
    </row>
    <row r="30" spans="1:10">
      <c r="A30" s="162" t="s">
        <v>517</v>
      </c>
      <c r="B30" s="74">
        <f>(IF(B5=25,IF(B9=1,CEILING(((B4-0.025)/0.0215)*B3,1)+B3*2,CEILING(((B4-0.025)/0.0215)*B3,1)),IF(B9=1,CEILING(((B4-0.025)/0.0125)*B3,1)+B3*2,CEILING(((B4-0.025)/0.0125)*B3,1)))+0.2)*B11</f>
        <v>143.19999999999999</v>
      </c>
      <c r="C30" s="843"/>
      <c r="D30" s="66">
        <f t="shared" si="0"/>
        <v>0</v>
      </c>
    </row>
    <row r="31" spans="1:10">
      <c r="A31" s="85" t="s">
        <v>76</v>
      </c>
      <c r="B31" s="74">
        <f>IF(B5=16,(B15*(B4+0.12))*B11,0)</f>
        <v>0</v>
      </c>
      <c r="C31" s="843"/>
      <c r="D31" s="66">
        <f t="shared" si="0"/>
        <v>0</v>
      </c>
      <c r="G31" s="73"/>
    </row>
    <row r="32" spans="1:10">
      <c r="A32" s="84" t="s">
        <v>77</v>
      </c>
      <c r="B32" s="74">
        <f>IF(B5=25,(B15*(B4+0.3))*B11,0)</f>
        <v>9.1</v>
      </c>
      <c r="C32" s="843"/>
      <c r="D32" s="66">
        <f t="shared" si="0"/>
        <v>0</v>
      </c>
      <c r="G32" s="73"/>
    </row>
    <row r="33" spans="1:5">
      <c r="A33" s="162" t="s">
        <v>159</v>
      </c>
      <c r="B33" s="74">
        <f>(B3)*B11</f>
        <v>3</v>
      </c>
      <c r="C33" s="843"/>
      <c r="D33" s="66">
        <f t="shared" si="0"/>
        <v>0</v>
      </c>
    </row>
    <row r="34" spans="1:5">
      <c r="A34" s="162" t="s">
        <v>166</v>
      </c>
      <c r="B34" s="74">
        <f>IF(B10&gt;0,(IF(B3&lt;1.5,2,IF(B3&lt;1.8,3,IF(B3&lt;2.3,4,IF(B3&lt;2.8,5,6)))))*B10,0)</f>
        <v>6</v>
      </c>
      <c r="C34" s="843"/>
      <c r="D34" s="159">
        <f>B34*C34</f>
        <v>0</v>
      </c>
    </row>
    <row r="35" spans="1:5">
      <c r="A35" s="162" t="s">
        <v>167</v>
      </c>
      <c r="B35" s="74">
        <f>B11-B12</f>
        <v>0</v>
      </c>
      <c r="C35" s="843"/>
      <c r="D35" s="159">
        <f>B35*C35</f>
        <v>0</v>
      </c>
    </row>
    <row r="36" spans="1:5">
      <c r="A36" s="162" t="s">
        <v>233</v>
      </c>
      <c r="B36" s="74">
        <f>B12</f>
        <v>1</v>
      </c>
      <c r="C36" s="843"/>
      <c r="D36" s="159">
        <f>B36*C36</f>
        <v>0</v>
      </c>
    </row>
    <row r="37" spans="1:5">
      <c r="A37" s="162" t="s">
        <v>169</v>
      </c>
      <c r="B37" s="74">
        <f>B11-B12</f>
        <v>0</v>
      </c>
      <c r="C37" s="843"/>
      <c r="D37" s="159">
        <f>B37*C37</f>
        <v>0</v>
      </c>
    </row>
    <row r="38" spans="1:5">
      <c r="A38" s="161" t="s">
        <v>160</v>
      </c>
      <c r="B38" s="74">
        <f>B15*B11</f>
        <v>7</v>
      </c>
      <c r="C38" s="843"/>
      <c r="D38" s="66">
        <f t="shared" si="0"/>
        <v>0</v>
      </c>
    </row>
    <row r="39" spans="1:5">
      <c r="A39" s="161" t="s">
        <v>170</v>
      </c>
      <c r="B39" s="74">
        <f>B11*2+(B11-B12)*2</f>
        <v>2</v>
      </c>
      <c r="C39" s="843"/>
      <c r="D39" s="66">
        <f t="shared" si="0"/>
        <v>0</v>
      </c>
    </row>
    <row r="40" spans="1:5">
      <c r="A40" s="161" t="s">
        <v>171</v>
      </c>
      <c r="B40" s="74">
        <f>B11*2</f>
        <v>2</v>
      </c>
      <c r="C40" s="843"/>
      <c r="D40" s="159">
        <f>B40*C40</f>
        <v>0</v>
      </c>
    </row>
    <row r="41" spans="1:5">
      <c r="A41" s="133" t="s">
        <v>163</v>
      </c>
      <c r="B41" s="74">
        <f>B13</f>
        <v>2</v>
      </c>
      <c r="C41" s="843"/>
      <c r="D41" s="159">
        <f>B41*C41</f>
        <v>0</v>
      </c>
    </row>
    <row r="42" spans="1:5">
      <c r="A42" s="133" t="s">
        <v>172</v>
      </c>
      <c r="B42" s="75">
        <f>B11</f>
        <v>1</v>
      </c>
      <c r="C42" s="915"/>
      <c r="D42" s="159">
        <f>B42*C42</f>
        <v>0</v>
      </c>
    </row>
    <row r="43" spans="1:5" ht="12" thickBot="1">
      <c r="A43" s="30" t="s">
        <v>173</v>
      </c>
      <c r="B43" s="160">
        <f>B14</f>
        <v>3</v>
      </c>
      <c r="C43" s="916"/>
      <c r="D43" s="159">
        <f>B43*C43</f>
        <v>0</v>
      </c>
    </row>
    <row r="44" spans="1:5" ht="12.75" customHeight="1">
      <c r="A44" s="86" t="s">
        <v>78</v>
      </c>
      <c r="B44" s="76">
        <f>IF(B6=1,4*B11,0)</f>
        <v>0</v>
      </c>
      <c r="C44" s="917"/>
      <c r="D44" s="68">
        <f t="shared" si="0"/>
        <v>0</v>
      </c>
      <c r="E44" s="1058" t="s">
        <v>54</v>
      </c>
    </row>
    <row r="45" spans="1:5" ht="13.5" customHeight="1">
      <c r="A45" s="84" t="s">
        <v>79</v>
      </c>
      <c r="B45" s="74">
        <f>IF(B7=1,0,IF(B6=1,2*B11,0))</f>
        <v>0</v>
      </c>
      <c r="C45" s="843"/>
      <c r="D45" s="67">
        <f t="shared" si="0"/>
        <v>0</v>
      </c>
      <c r="E45" s="1059"/>
    </row>
    <row r="46" spans="1:5">
      <c r="A46" s="84" t="s">
        <v>80</v>
      </c>
      <c r="B46" s="74">
        <f>IF(B6=1,B11*2,0)</f>
        <v>0</v>
      </c>
      <c r="C46" s="843"/>
      <c r="D46" s="67">
        <f t="shared" si="0"/>
        <v>0</v>
      </c>
      <c r="E46" s="1059"/>
    </row>
    <row r="47" spans="1:5" ht="14.25" customHeight="1" thickBot="1">
      <c r="A47" s="87" t="s">
        <v>81</v>
      </c>
      <c r="B47" s="75">
        <f>IF(B6=1,(B4*2+0.2)*B11,0)</f>
        <v>0</v>
      </c>
      <c r="C47" s="915"/>
      <c r="D47" s="67">
        <f t="shared" si="0"/>
        <v>0</v>
      </c>
      <c r="E47" s="1060"/>
    </row>
    <row r="48" spans="1:5">
      <c r="A48" s="86" t="s">
        <v>82</v>
      </c>
      <c r="B48" s="76">
        <f>IF(B7=1,2*B11,0)</f>
        <v>0</v>
      </c>
      <c r="C48" s="917"/>
      <c r="D48" s="69">
        <f>B48*C48</f>
        <v>0</v>
      </c>
      <c r="E48" s="1058" t="s">
        <v>58</v>
      </c>
    </row>
    <row r="49" spans="1:5">
      <c r="A49" s="84" t="s">
        <v>83</v>
      </c>
      <c r="B49" s="74">
        <f>IF(B7=1,IF(B6=1,2*B11,0),0)</f>
        <v>0</v>
      </c>
      <c r="C49" s="843"/>
      <c r="D49" s="150">
        <f>B49*C49</f>
        <v>0</v>
      </c>
      <c r="E49" s="1059"/>
    </row>
    <row r="50" spans="1:5">
      <c r="A50" s="84" t="s">
        <v>64</v>
      </c>
      <c r="B50" s="74">
        <f>B48</f>
        <v>0</v>
      </c>
      <c r="C50" s="843"/>
      <c r="D50" s="150">
        <f>B50*C50</f>
        <v>0</v>
      </c>
      <c r="E50" s="1059"/>
    </row>
    <row r="51" spans="1:5" ht="12" thickBot="1">
      <c r="A51" s="88" t="s">
        <v>63</v>
      </c>
      <c r="B51" s="77">
        <f>IF(B7=1,B11,0)</f>
        <v>0</v>
      </c>
      <c r="C51" s="918"/>
      <c r="D51" s="70">
        <f>B51*C51</f>
        <v>0</v>
      </c>
      <c r="E51" s="1060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981" t="s">
        <v>84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45" t="s">
        <v>6</v>
      </c>
      <c r="B3" s="901">
        <v>0.82</v>
      </c>
      <c r="C3" s="983" t="s">
        <v>30</v>
      </c>
      <c r="D3" s="984"/>
    </row>
    <row r="4" spans="1:10">
      <c r="A4" s="46" t="s">
        <v>1</v>
      </c>
      <c r="B4" s="907">
        <v>1.42</v>
      </c>
      <c r="C4" s="1061" t="s">
        <v>30</v>
      </c>
      <c r="D4" s="1057"/>
    </row>
    <row r="5" spans="1:10">
      <c r="A5" s="46" t="s">
        <v>55</v>
      </c>
      <c r="B5" s="907">
        <v>1</v>
      </c>
      <c r="C5" s="1055" t="s">
        <v>33</v>
      </c>
      <c r="D5" s="1057"/>
      <c r="G5" s="71"/>
      <c r="H5" s="71"/>
      <c r="I5" s="71"/>
    </row>
    <row r="6" spans="1:10">
      <c r="A6" s="47" t="s">
        <v>56</v>
      </c>
      <c r="B6" s="910">
        <v>1</v>
      </c>
      <c r="C6" s="1053" t="s">
        <v>33</v>
      </c>
      <c r="D6" s="1054"/>
      <c r="G6" s="72"/>
      <c r="H6" s="71"/>
      <c r="I6" s="71"/>
    </row>
    <row r="7" spans="1:10">
      <c r="A7" s="47" t="s">
        <v>57</v>
      </c>
      <c r="B7" s="909">
        <v>1</v>
      </c>
      <c r="C7" s="1055" t="s">
        <v>33</v>
      </c>
      <c r="D7" s="1057"/>
      <c r="G7" s="71"/>
      <c r="H7" s="71"/>
      <c r="I7" s="71"/>
    </row>
    <row r="8" spans="1:10">
      <c r="A8" s="173" t="s">
        <v>53</v>
      </c>
      <c r="B8" s="919">
        <v>25</v>
      </c>
      <c r="C8" s="1080" t="s">
        <v>30</v>
      </c>
      <c r="D8" s="1081"/>
      <c r="G8" s="71"/>
      <c r="H8" s="71"/>
      <c r="I8" s="71"/>
    </row>
    <row r="9" spans="1:10">
      <c r="A9" s="172" t="s">
        <v>157</v>
      </c>
      <c r="B9" s="920">
        <v>1</v>
      </c>
      <c r="C9" s="174"/>
      <c r="D9" s="174"/>
      <c r="E9" s="170"/>
      <c r="H9" s="71"/>
      <c r="I9" s="71"/>
      <c r="J9" s="71"/>
    </row>
    <row r="10" spans="1:10">
      <c r="A10" s="152" t="s">
        <v>144</v>
      </c>
      <c r="B10" s="911">
        <v>2</v>
      </c>
      <c r="C10" s="157"/>
      <c r="D10" s="157"/>
      <c r="E10" s="170"/>
      <c r="H10" s="71"/>
      <c r="I10" s="71"/>
      <c r="J10" s="71"/>
    </row>
    <row r="11" spans="1:10" ht="12" thickBot="1">
      <c r="A11" s="139" t="s">
        <v>147</v>
      </c>
      <c r="B11" s="912">
        <v>3</v>
      </c>
      <c r="C11" s="168"/>
      <c r="D11" s="169"/>
      <c r="E11" s="171"/>
      <c r="H11" s="71"/>
      <c r="I11" s="71"/>
      <c r="J11" s="71"/>
    </row>
    <row r="12" spans="1:10">
      <c r="A12" s="91" t="s">
        <v>87</v>
      </c>
      <c r="B12" s="921">
        <f>IF(B3&lt;=0.69,2,IF(B3&lt;=1.08,3,IF(B3&lt;=1.47,4,IF(B3&lt;=1.86,5,6))))</f>
        <v>3</v>
      </c>
      <c r="C12" s="1020" t="s">
        <v>29</v>
      </c>
      <c r="D12" s="1020"/>
      <c r="F12" s="73"/>
      <c r="G12" s="71"/>
      <c r="H12" s="71"/>
      <c r="I12" s="71"/>
    </row>
    <row r="13" spans="1:10">
      <c r="A13" s="91" t="s">
        <v>86</v>
      </c>
      <c r="B13" s="921">
        <f>IF(B12=2,2,IF(B12=3,2,IF(B12=4,4,IF(B12=5,3,4))))</f>
        <v>2</v>
      </c>
      <c r="C13" s="1020" t="s">
        <v>29</v>
      </c>
      <c r="D13" s="1020"/>
      <c r="G13" s="71"/>
      <c r="H13" s="71"/>
      <c r="I13" s="71"/>
    </row>
    <row r="14" spans="1:10" ht="12" thickBot="1">
      <c r="A14" s="1078"/>
      <c r="B14" s="1079"/>
      <c r="C14" s="1079"/>
      <c r="D14" s="1079"/>
      <c r="G14" s="71"/>
      <c r="H14" s="71"/>
      <c r="I14" s="71"/>
    </row>
    <row r="15" spans="1:10" ht="12.75">
      <c r="A15" s="62" t="s">
        <v>7</v>
      </c>
      <c r="B15" s="63" t="s">
        <v>0</v>
      </c>
      <c r="C15" s="64" t="s">
        <v>4</v>
      </c>
      <c r="D15" s="65" t="s">
        <v>8</v>
      </c>
      <c r="G15" s="71"/>
      <c r="H15" s="71"/>
      <c r="I15" s="71"/>
    </row>
    <row r="16" spans="1:10">
      <c r="A16" s="80" t="s">
        <v>92</v>
      </c>
      <c r="B16" s="81">
        <f>(B4+0.3)*B13</f>
        <v>3.44</v>
      </c>
      <c r="C16" s="846">
        <v>9</v>
      </c>
      <c r="D16" s="1">
        <f t="shared" ref="D16:D42" si="0">B16*C16</f>
        <v>30.96</v>
      </c>
      <c r="G16" s="71"/>
      <c r="H16" s="71"/>
      <c r="I16" s="71"/>
    </row>
    <row r="17" spans="1:6">
      <c r="A17" s="80" t="s">
        <v>66</v>
      </c>
      <c r="B17" s="82">
        <f>IF(B6=1,2*B8,0)</f>
        <v>50</v>
      </c>
      <c r="C17" s="843"/>
      <c r="D17" s="66">
        <f t="shared" si="0"/>
        <v>0</v>
      </c>
    </row>
    <row r="18" spans="1:6">
      <c r="A18" s="80" t="s">
        <v>98</v>
      </c>
      <c r="B18" s="82">
        <f>B12*B8</f>
        <v>75</v>
      </c>
      <c r="C18" s="843"/>
      <c r="D18" s="66">
        <f t="shared" si="0"/>
        <v>0</v>
      </c>
    </row>
    <row r="19" spans="1:6">
      <c r="A19" s="161" t="s">
        <v>158</v>
      </c>
      <c r="B19" s="82">
        <f>B12*B8</f>
        <v>75</v>
      </c>
      <c r="C19" s="843"/>
      <c r="D19" s="66">
        <f t="shared" si="0"/>
        <v>0</v>
      </c>
    </row>
    <row r="20" spans="1:6">
      <c r="A20" s="161" t="s">
        <v>174</v>
      </c>
      <c r="B20" s="82">
        <f>((IF(B3&lt;1.5,2,3))*B8)</f>
        <v>50</v>
      </c>
      <c r="C20" s="843"/>
      <c r="D20" s="159">
        <f t="shared" si="0"/>
        <v>0</v>
      </c>
    </row>
    <row r="21" spans="1:6">
      <c r="A21" s="161" t="s">
        <v>175</v>
      </c>
      <c r="B21" s="82">
        <f>((IF(B3&lt;1.5,2,3))*B8)</f>
        <v>50</v>
      </c>
      <c r="C21" s="843"/>
      <c r="D21" s="159">
        <f t="shared" si="0"/>
        <v>0</v>
      </c>
    </row>
    <row r="22" spans="1:6">
      <c r="A22" s="161" t="s">
        <v>176</v>
      </c>
      <c r="B22" s="82">
        <f>((IF(B3&lt;1.5,2,3))*B8)</f>
        <v>50</v>
      </c>
      <c r="C22" s="843"/>
      <c r="D22" s="66">
        <f t="shared" si="0"/>
        <v>0</v>
      </c>
    </row>
    <row r="23" spans="1:6">
      <c r="A23" s="80" t="s">
        <v>68</v>
      </c>
      <c r="B23" s="82">
        <f>B3*B8</f>
        <v>20.5</v>
      </c>
      <c r="C23" s="843"/>
      <c r="D23" s="66">
        <f t="shared" si="0"/>
        <v>0</v>
      </c>
    </row>
    <row r="24" spans="1:6">
      <c r="A24" s="83" t="s">
        <v>94</v>
      </c>
      <c r="B24" s="82">
        <f>B12*B8</f>
        <v>75</v>
      </c>
      <c r="C24" s="843"/>
      <c r="D24" s="66">
        <f t="shared" si="0"/>
        <v>0</v>
      </c>
      <c r="F24" s="73"/>
    </row>
    <row r="25" spans="1:6">
      <c r="A25" s="83" t="s">
        <v>95</v>
      </c>
      <c r="B25" s="82">
        <f>2*B8</f>
        <v>50</v>
      </c>
      <c r="C25" s="843"/>
      <c r="D25" s="66">
        <f t="shared" si="0"/>
        <v>0</v>
      </c>
    </row>
    <row r="26" spans="1:6">
      <c r="A26" s="83" t="s">
        <v>96</v>
      </c>
      <c r="B26" s="175">
        <f>(IF(B3&lt;0.61,0,IF(B3&lt;1.01,1,IF(B3&lt;1.5,2,IF(B3&lt;1.8,3,4)))))*B8</f>
        <v>25</v>
      </c>
      <c r="C26" s="843"/>
      <c r="D26" s="66">
        <f t="shared" si="0"/>
        <v>0</v>
      </c>
    </row>
    <row r="27" spans="1:6">
      <c r="A27" s="84" t="s">
        <v>97</v>
      </c>
      <c r="B27" s="74">
        <f>2*B8</f>
        <v>50</v>
      </c>
      <c r="C27" s="843"/>
      <c r="D27" s="66">
        <f t="shared" si="0"/>
        <v>0</v>
      </c>
    </row>
    <row r="28" spans="1:6">
      <c r="A28" s="84" t="s">
        <v>93</v>
      </c>
      <c r="B28" s="74">
        <f>B12*(B4+0.3)*B8</f>
        <v>129</v>
      </c>
      <c r="C28" s="843"/>
      <c r="D28" s="66">
        <f t="shared" si="0"/>
        <v>0</v>
      </c>
      <c r="F28" s="73"/>
    </row>
    <row r="29" spans="1:6">
      <c r="A29" s="162" t="s">
        <v>159</v>
      </c>
      <c r="B29" s="74">
        <f>B3*B8</f>
        <v>20.5</v>
      </c>
      <c r="C29" s="843"/>
      <c r="D29" s="66">
        <f t="shared" si="0"/>
        <v>0</v>
      </c>
    </row>
    <row r="30" spans="1:6">
      <c r="A30" s="162" t="s">
        <v>167</v>
      </c>
      <c r="B30" s="74">
        <f>B8-B9</f>
        <v>24</v>
      </c>
      <c r="C30" s="843"/>
      <c r="D30" s="159">
        <f t="shared" si="0"/>
        <v>0</v>
      </c>
    </row>
    <row r="31" spans="1:6">
      <c r="A31" s="162" t="s">
        <v>233</v>
      </c>
      <c r="B31" s="74">
        <f>B9</f>
        <v>1</v>
      </c>
      <c r="C31" s="843"/>
      <c r="D31" s="159">
        <f t="shared" si="0"/>
        <v>0</v>
      </c>
    </row>
    <row r="32" spans="1:6">
      <c r="A32" s="162" t="s">
        <v>169</v>
      </c>
      <c r="B32" s="74">
        <f>B8-B9</f>
        <v>24</v>
      </c>
      <c r="C32" s="843"/>
      <c r="D32" s="159">
        <f t="shared" ref="D32:D38" si="1">B32*C32</f>
        <v>0</v>
      </c>
    </row>
    <row r="33" spans="1:4">
      <c r="A33" s="161" t="s">
        <v>160</v>
      </c>
      <c r="B33" s="74">
        <f>B12*B8</f>
        <v>75</v>
      </c>
      <c r="C33" s="843"/>
      <c r="D33" s="159">
        <f t="shared" si="1"/>
        <v>0</v>
      </c>
    </row>
    <row r="34" spans="1:4">
      <c r="A34" s="161" t="s">
        <v>170</v>
      </c>
      <c r="B34" s="74">
        <f>B8*2+(B8-B9)*2</f>
        <v>98</v>
      </c>
      <c r="C34" s="843"/>
      <c r="D34" s="159">
        <f t="shared" si="1"/>
        <v>0</v>
      </c>
    </row>
    <row r="35" spans="1:4">
      <c r="A35" s="161" t="s">
        <v>171</v>
      </c>
      <c r="B35" s="74">
        <f>B8*2</f>
        <v>50</v>
      </c>
      <c r="C35" s="843"/>
      <c r="D35" s="159">
        <f t="shared" si="1"/>
        <v>0</v>
      </c>
    </row>
    <row r="36" spans="1:4">
      <c r="A36" s="133" t="s">
        <v>163</v>
      </c>
      <c r="B36" s="74">
        <f>B10</f>
        <v>2</v>
      </c>
      <c r="C36" s="843"/>
      <c r="D36" s="159">
        <f t="shared" si="1"/>
        <v>0</v>
      </c>
    </row>
    <row r="37" spans="1:4">
      <c r="A37" s="133" t="s">
        <v>172</v>
      </c>
      <c r="B37" s="75">
        <f>B8</f>
        <v>25</v>
      </c>
      <c r="C37" s="915"/>
      <c r="D37" s="159">
        <f t="shared" si="1"/>
        <v>0</v>
      </c>
    </row>
    <row r="38" spans="1:4" ht="12" thickBot="1">
      <c r="A38" s="30" t="s">
        <v>173</v>
      </c>
      <c r="B38" s="160">
        <f>B11</f>
        <v>3</v>
      </c>
      <c r="C38" s="916"/>
      <c r="D38" s="159">
        <f t="shared" si="1"/>
        <v>0</v>
      </c>
    </row>
    <row r="39" spans="1:4" ht="12" thickBot="1">
      <c r="A39" s="1076" t="s">
        <v>91</v>
      </c>
      <c r="B39" s="1077"/>
      <c r="C39" s="1077"/>
      <c r="D39" s="1077"/>
    </row>
    <row r="40" spans="1:4">
      <c r="A40" s="92" t="s">
        <v>88</v>
      </c>
      <c r="B40" s="54">
        <f>(ROUND((B4-0.025)/0.0215,0))*B8</f>
        <v>1625</v>
      </c>
      <c r="C40" s="914"/>
      <c r="D40" s="69">
        <f t="shared" si="0"/>
        <v>0</v>
      </c>
    </row>
    <row r="41" spans="1:4">
      <c r="A41" s="93" t="s">
        <v>89</v>
      </c>
      <c r="B41" s="55">
        <f>B8</f>
        <v>25</v>
      </c>
      <c r="C41" s="846"/>
      <c r="D41" s="66">
        <f t="shared" si="0"/>
        <v>0</v>
      </c>
    </row>
    <row r="42" spans="1:4" ht="12" thickBot="1">
      <c r="A42" s="94" t="s">
        <v>90</v>
      </c>
      <c r="B42" s="56">
        <f>B8</f>
        <v>25</v>
      </c>
      <c r="C42" s="916"/>
      <c r="D42" s="70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39:D39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topLeftCell="A33" zoomScale="85" zoomScaleNormal="85" zoomScaleSheetLayoutView="100" workbookViewId="0">
      <selection activeCell="B73" sqref="B7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090" t="s">
        <v>890</v>
      </c>
      <c r="B1" s="1090"/>
      <c r="C1" s="1090"/>
      <c r="D1" s="1090"/>
    </row>
    <row r="2" spans="1:11" ht="11.25" customHeight="1">
      <c r="A2" s="110" t="s">
        <v>10</v>
      </c>
      <c r="B2" s="838">
        <v>1</v>
      </c>
      <c r="C2" s="1088" t="s">
        <v>30</v>
      </c>
      <c r="D2" s="1089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1</v>
      </c>
      <c r="C3" s="1091" t="s">
        <v>30</v>
      </c>
      <c r="D3" s="1092"/>
      <c r="F3" s="990"/>
      <c r="G3" s="991"/>
      <c r="H3" s="991"/>
      <c r="I3" s="991"/>
      <c r="J3" s="991"/>
      <c r="K3" s="992"/>
    </row>
    <row r="4" spans="1:11">
      <c r="A4" s="122" t="s">
        <v>36</v>
      </c>
      <c r="B4" s="922">
        <v>2</v>
      </c>
      <c r="C4" s="1088" t="s">
        <v>870</v>
      </c>
      <c r="D4" s="1089" t="s">
        <v>871</v>
      </c>
      <c r="F4" s="121"/>
      <c r="G4" s="121"/>
      <c r="H4" s="121"/>
      <c r="I4" s="121"/>
      <c r="J4" s="121"/>
      <c r="K4" s="121"/>
    </row>
    <row r="5" spans="1:11">
      <c r="A5" s="111" t="s">
        <v>872</v>
      </c>
      <c r="B5" s="840">
        <v>0</v>
      </c>
      <c r="C5" s="1093" t="s">
        <v>30</v>
      </c>
      <c r="D5" s="1094"/>
    </row>
    <row r="6" spans="1:11" ht="13.5" customHeight="1" thickBot="1">
      <c r="A6" s="145" t="s">
        <v>873</v>
      </c>
      <c r="B6" s="923">
        <v>0</v>
      </c>
      <c r="C6" s="1091" t="s">
        <v>30</v>
      </c>
      <c r="D6" s="1092"/>
    </row>
    <row r="7" spans="1:11" ht="12" thickBot="1">
      <c r="A7" s="829" t="s">
        <v>874</v>
      </c>
      <c r="B7" s="924">
        <v>2</v>
      </c>
      <c r="C7" s="1083" t="s">
        <v>30</v>
      </c>
      <c r="D7" s="1084"/>
    </row>
    <row r="8" spans="1:11" ht="12" thickBot="1">
      <c r="A8" s="829" t="s">
        <v>875</v>
      </c>
      <c r="B8" s="924">
        <v>0</v>
      </c>
      <c r="C8" s="1083" t="s">
        <v>30</v>
      </c>
      <c r="D8" s="1084"/>
    </row>
    <row r="9" spans="1:11" ht="12" thickBot="1">
      <c r="A9" s="148" t="s">
        <v>876</v>
      </c>
      <c r="B9" s="925">
        <v>0</v>
      </c>
      <c r="C9" s="1083" t="s">
        <v>30</v>
      </c>
      <c r="D9" s="1084"/>
    </row>
    <row r="10" spans="1:11" ht="12" thickBot="1">
      <c r="A10" s="148" t="s">
        <v>877</v>
      </c>
      <c r="B10" s="925">
        <v>0</v>
      </c>
      <c r="C10" s="1083" t="s">
        <v>30</v>
      </c>
      <c r="D10" s="1084"/>
    </row>
    <row r="11" spans="1:11" ht="12.75">
      <c r="A11" s="948" t="s">
        <v>878</v>
      </c>
      <c r="B11" s="99">
        <v>0</v>
      </c>
      <c r="C11" s="119" t="s">
        <v>30</v>
      </c>
      <c r="D11" s="947"/>
      <c r="E11" s="5"/>
      <c r="F11" s="5"/>
      <c r="G11" s="5"/>
      <c r="H11" s="5"/>
      <c r="I11" s="5"/>
      <c r="J11" s="5"/>
      <c r="K11" s="5"/>
    </row>
    <row r="12" spans="1:11" ht="12.75">
      <c r="A12" s="951" t="s">
        <v>879</v>
      </c>
      <c r="B12" s="949">
        <v>0</v>
      </c>
      <c r="C12" s="950" t="s">
        <v>30</v>
      </c>
      <c r="D12" s="952"/>
    </row>
    <row r="13" spans="1:11">
      <c r="A13" s="6" t="s">
        <v>880</v>
      </c>
      <c r="B13" s="959">
        <v>0</v>
      </c>
      <c r="C13" s="859" t="s">
        <v>30</v>
      </c>
      <c r="D13" s="945"/>
    </row>
    <row r="14" spans="1:11">
      <c r="A14" s="6" t="s">
        <v>881</v>
      </c>
      <c r="B14" s="959">
        <v>0</v>
      </c>
      <c r="C14" s="859" t="s">
        <v>30</v>
      </c>
      <c r="D14" s="945"/>
      <c r="E14" s="71"/>
      <c r="F14" s="71"/>
    </row>
    <row r="15" spans="1:11">
      <c r="A15" s="6" t="s">
        <v>931</v>
      </c>
      <c r="B15" s="959">
        <v>1</v>
      </c>
      <c r="C15" s="859" t="s">
        <v>30</v>
      </c>
      <c r="D15" s="945"/>
      <c r="E15" s="71"/>
      <c r="F15" s="71"/>
    </row>
    <row r="16" spans="1:11">
      <c r="A16" s="7" t="s">
        <v>882</v>
      </c>
      <c r="B16" s="960">
        <v>0</v>
      </c>
      <c r="C16" s="859" t="s">
        <v>30</v>
      </c>
      <c r="D16" s="945"/>
    </row>
    <row r="17" spans="1:11">
      <c r="A17" s="6" t="s">
        <v>918</v>
      </c>
      <c r="B17" s="959">
        <v>1</v>
      </c>
      <c r="C17" s="859" t="s">
        <v>30</v>
      </c>
      <c r="D17" s="945"/>
    </row>
    <row r="18" spans="1:11">
      <c r="A18" s="7" t="s">
        <v>919</v>
      </c>
      <c r="B18" s="960">
        <v>0</v>
      </c>
      <c r="C18" s="859" t="s">
        <v>30</v>
      </c>
      <c r="D18" s="945"/>
    </row>
    <row r="19" spans="1:11">
      <c r="A19" s="6" t="s">
        <v>922</v>
      </c>
      <c r="B19" s="959">
        <v>0</v>
      </c>
      <c r="C19" s="859" t="s">
        <v>30</v>
      </c>
      <c r="D19" s="945"/>
    </row>
    <row r="20" spans="1:11">
      <c r="A20" s="6" t="s">
        <v>923</v>
      </c>
      <c r="B20" s="959">
        <v>0</v>
      </c>
      <c r="C20" s="859" t="s">
        <v>30</v>
      </c>
      <c r="D20" s="945"/>
    </row>
    <row r="21" spans="1:11">
      <c r="A21" s="7" t="s">
        <v>924</v>
      </c>
      <c r="B21" s="960">
        <v>0</v>
      </c>
      <c r="C21" s="859" t="s">
        <v>30</v>
      </c>
      <c r="D21" s="945"/>
    </row>
    <row r="22" spans="1:11">
      <c r="A22" s="6" t="s">
        <v>925</v>
      </c>
      <c r="B22" s="959">
        <v>0</v>
      </c>
      <c r="C22" s="859" t="s">
        <v>30</v>
      </c>
      <c r="D22" s="945"/>
    </row>
    <row r="23" spans="1:11">
      <c r="A23" s="7" t="s">
        <v>930</v>
      </c>
      <c r="B23" s="960">
        <v>0</v>
      </c>
      <c r="C23" s="859" t="s">
        <v>30</v>
      </c>
      <c r="D23" s="945"/>
    </row>
    <row r="24" spans="1:11">
      <c r="A24" s="6" t="s">
        <v>927</v>
      </c>
      <c r="B24" s="959">
        <v>0</v>
      </c>
      <c r="C24" s="859" t="s">
        <v>30</v>
      </c>
      <c r="D24" s="945"/>
      <c r="E24" s="71"/>
      <c r="F24" s="71"/>
    </row>
    <row r="25" spans="1:11">
      <c r="A25" s="7" t="s">
        <v>928</v>
      </c>
      <c r="B25" s="960">
        <v>0</v>
      </c>
      <c r="C25" s="859" t="s">
        <v>30</v>
      </c>
      <c r="D25" s="945"/>
    </row>
    <row r="26" spans="1:11">
      <c r="A26" s="6" t="s">
        <v>929</v>
      </c>
      <c r="B26" s="959">
        <v>0</v>
      </c>
      <c r="C26" s="859" t="s">
        <v>30</v>
      </c>
      <c r="D26" s="945"/>
    </row>
    <row r="27" spans="1:11">
      <c r="A27" s="7" t="s">
        <v>926</v>
      </c>
      <c r="B27" s="960">
        <v>0</v>
      </c>
      <c r="C27" s="859" t="s">
        <v>30</v>
      </c>
      <c r="D27" s="945"/>
    </row>
    <row r="28" spans="1:11">
      <c r="A28" s="6" t="s">
        <v>920</v>
      </c>
      <c r="B28" s="959">
        <v>1</v>
      </c>
      <c r="C28" s="859" t="s">
        <v>30</v>
      </c>
      <c r="D28" s="945"/>
    </row>
    <row r="29" spans="1:11">
      <c r="A29" s="7" t="s">
        <v>146</v>
      </c>
      <c r="B29" s="960">
        <v>1</v>
      </c>
      <c r="C29" s="859" t="s">
        <v>30</v>
      </c>
      <c r="D29" s="945"/>
    </row>
    <row r="30" spans="1:11" ht="12" thickBot="1">
      <c r="A30" s="883" t="s">
        <v>143</v>
      </c>
      <c r="B30" s="961">
        <v>1</v>
      </c>
      <c r="C30" s="926" t="s">
        <v>30</v>
      </c>
      <c r="D30" s="4"/>
    </row>
    <row r="31" spans="1:11" ht="12" thickBot="1">
      <c r="A31" s="881"/>
      <c r="B31" s="882"/>
      <c r="C31" s="927"/>
      <c r="D31" s="71"/>
    </row>
    <row r="32" spans="1:11" s="5" customFormat="1" ht="13.5" customHeight="1">
      <c r="A32" s="953" t="s">
        <v>5</v>
      </c>
      <c r="B32" s="954" t="s">
        <v>0</v>
      </c>
      <c r="C32" s="955" t="s">
        <v>4</v>
      </c>
      <c r="D32" s="956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58">
        <f>IF(B11+B12=0,2*(B5+B6+B7+B8+B9+B10),2*((B5+B6+B7+B8+B9+B10)-(B11+B12)))</f>
        <v>4</v>
      </c>
      <c r="C33" s="860"/>
      <c r="D33" s="862">
        <f t="shared" ref="D33:D74" si="0">C33*B33</f>
        <v>0</v>
      </c>
    </row>
    <row r="34" spans="1:4">
      <c r="A34" s="7" t="s">
        <v>883</v>
      </c>
      <c r="B34" s="958">
        <f>2*(B11+B12)</f>
        <v>0</v>
      </c>
      <c r="C34" s="860"/>
      <c r="D34" s="862">
        <f t="shared" si="0"/>
        <v>0</v>
      </c>
    </row>
    <row r="35" spans="1:4">
      <c r="A35" s="7" t="s">
        <v>898</v>
      </c>
      <c r="B35" s="958">
        <f>B36*4+B37*4</f>
        <v>0</v>
      </c>
      <c r="C35" s="860"/>
      <c r="D35" s="945">
        <f t="shared" si="0"/>
        <v>0</v>
      </c>
    </row>
    <row r="36" spans="1:4">
      <c r="A36" s="7" t="s">
        <v>884</v>
      </c>
      <c r="B36" s="958">
        <f>B12</f>
        <v>0</v>
      </c>
      <c r="C36" s="860"/>
      <c r="D36" s="862">
        <f t="shared" si="0"/>
        <v>0</v>
      </c>
    </row>
    <row r="37" spans="1:4">
      <c r="A37" s="7" t="s">
        <v>885</v>
      </c>
      <c r="B37" s="958">
        <f>B11</f>
        <v>0</v>
      </c>
      <c r="C37" s="860"/>
      <c r="D37" s="862">
        <f t="shared" si="0"/>
        <v>0</v>
      </c>
    </row>
    <row r="38" spans="1:4">
      <c r="A38" s="6" t="s">
        <v>808</v>
      </c>
      <c r="B38" s="958">
        <f>(IF(B2&lt;=1,2,IF(B2&lt;=1.5,3,IF(B2&lt;=2,4,IF(B2&lt;=2.5,5,6)))))*(B8+B9+B10)</f>
        <v>0</v>
      </c>
      <c r="C38" s="860"/>
      <c r="D38" s="862">
        <f t="shared" si="0"/>
        <v>0</v>
      </c>
    </row>
    <row r="39" spans="1:4">
      <c r="A39" s="6" t="s">
        <v>899</v>
      </c>
      <c r="B39" s="958">
        <f>B6</f>
        <v>0</v>
      </c>
      <c r="C39" s="860"/>
      <c r="D39" s="862">
        <f t="shared" si="0"/>
        <v>0</v>
      </c>
    </row>
    <row r="40" spans="1:4" ht="12" customHeight="1">
      <c r="A40" s="52" t="s">
        <v>891</v>
      </c>
      <c r="B40" s="962">
        <f>B5</f>
        <v>0</v>
      </c>
      <c r="C40" s="928"/>
      <c r="D40" s="862">
        <f t="shared" si="0"/>
        <v>0</v>
      </c>
    </row>
    <row r="41" spans="1:4">
      <c r="A41" s="52" t="s">
        <v>895</v>
      </c>
      <c r="B41" s="962">
        <f>2*B8</f>
        <v>0</v>
      </c>
      <c r="C41" s="846"/>
      <c r="D41" s="862">
        <f t="shared" si="0"/>
        <v>0</v>
      </c>
    </row>
    <row r="42" spans="1:4">
      <c r="A42" s="52" t="s">
        <v>896</v>
      </c>
      <c r="B42" s="962">
        <f>2*(B9+B10)</f>
        <v>0</v>
      </c>
      <c r="C42" s="846"/>
      <c r="D42" s="862">
        <f t="shared" si="0"/>
        <v>0</v>
      </c>
    </row>
    <row r="43" spans="1:4">
      <c r="A43" s="52" t="s">
        <v>897</v>
      </c>
      <c r="B43" s="962">
        <f>B10+B9+B8</f>
        <v>0</v>
      </c>
      <c r="C43" s="846"/>
      <c r="D43" s="862">
        <f t="shared" si="0"/>
        <v>0</v>
      </c>
    </row>
    <row r="44" spans="1:4">
      <c r="A44" s="7" t="s">
        <v>119</v>
      </c>
      <c r="B44" s="962">
        <f>B2*(B5+B6+B7+B8+B9+B10)</f>
        <v>2</v>
      </c>
      <c r="C44" s="846"/>
      <c r="D44" s="862">
        <f t="shared" si="0"/>
        <v>0</v>
      </c>
    </row>
    <row r="45" spans="1:4">
      <c r="A45" s="52" t="s">
        <v>118</v>
      </c>
      <c r="B45" s="865">
        <f>B47</f>
        <v>1.9239999999999999</v>
      </c>
      <c r="C45" s="846"/>
      <c r="D45" s="862">
        <f t="shared" si="0"/>
        <v>0</v>
      </c>
    </row>
    <row r="46" spans="1:4">
      <c r="A46" s="52" t="s">
        <v>894</v>
      </c>
      <c r="B46" s="865">
        <f>(IF(B4=2,B2-0.005,B2+0.04))*(B10+B9+B8)</f>
        <v>0</v>
      </c>
      <c r="C46" s="846"/>
      <c r="D46" s="862">
        <f t="shared" si="0"/>
        <v>0</v>
      </c>
    </row>
    <row r="47" spans="1:4">
      <c r="A47" s="52" t="s">
        <v>797</v>
      </c>
      <c r="B47" s="865">
        <f>(IF(B4=2,B2-0.038,B2))*(B5+B6+B7+B8+B9+B10)</f>
        <v>1.9239999999999999</v>
      </c>
      <c r="C47" s="846"/>
      <c r="D47" s="862">
        <f t="shared" si="0"/>
        <v>0</v>
      </c>
    </row>
    <row r="48" spans="1:4">
      <c r="A48" s="52" t="s">
        <v>893</v>
      </c>
      <c r="B48" s="865">
        <f>4*(B8+B9+B10)</f>
        <v>0</v>
      </c>
      <c r="C48" s="846"/>
      <c r="D48" s="862">
        <f t="shared" si="0"/>
        <v>0</v>
      </c>
    </row>
    <row r="49" spans="1:8">
      <c r="A49" s="52" t="s">
        <v>900</v>
      </c>
      <c r="B49" s="865">
        <f>(2*B3+0.2)*(B11+B12)</f>
        <v>0</v>
      </c>
      <c r="C49" s="846"/>
      <c r="D49" s="862">
        <f t="shared" si="0"/>
        <v>0</v>
      </c>
    </row>
    <row r="50" spans="1:8">
      <c r="A50" s="52" t="s">
        <v>892</v>
      </c>
      <c r="B50" s="865">
        <f>(IF(B4=2,B2-0.035,B2+0.003))*(B5+B8)</f>
        <v>0</v>
      </c>
      <c r="C50" s="846"/>
      <c r="D50" s="862">
        <f t="shared" si="0"/>
        <v>0</v>
      </c>
    </row>
    <row r="51" spans="1:8">
      <c r="A51" s="6" t="s">
        <v>798</v>
      </c>
      <c r="B51" s="946">
        <f>(IF(B4=2,B2-0.035,B2+0.003))*(B6+B9)</f>
        <v>0</v>
      </c>
      <c r="C51" s="846"/>
      <c r="D51" s="862">
        <f t="shared" si="0"/>
        <v>0</v>
      </c>
    </row>
    <row r="52" spans="1:8">
      <c r="A52" s="52" t="s">
        <v>886</v>
      </c>
      <c r="B52" s="865">
        <f>(IF(B4=2,IF((B58+B60+B61)&gt;0,B2-0.04,B2-0.044),B2+0.003))*(B7+B10)</f>
        <v>1.92</v>
      </c>
      <c r="C52" s="846"/>
      <c r="D52" s="862">
        <f t="shared" si="0"/>
        <v>0</v>
      </c>
      <c r="E52" s="964"/>
    </row>
    <row r="53" spans="1:8">
      <c r="A53" s="52" t="s">
        <v>887</v>
      </c>
      <c r="B53" s="865">
        <f>4*(B11+B12)</f>
        <v>0</v>
      </c>
      <c r="C53" s="846"/>
      <c r="D53" s="862">
        <f t="shared" si="0"/>
        <v>0</v>
      </c>
      <c r="G53" s="1087"/>
      <c r="H53" s="1087"/>
    </row>
    <row r="54" spans="1:8">
      <c r="A54" s="52" t="s">
        <v>901</v>
      </c>
      <c r="B54" s="962">
        <f>B20+B24</f>
        <v>0</v>
      </c>
      <c r="C54" s="846"/>
      <c r="D54" s="945">
        <f t="shared" si="0"/>
        <v>0</v>
      </c>
      <c r="E54" s="957" t="s">
        <v>916</v>
      </c>
      <c r="F54" s="1082" t="s">
        <v>921</v>
      </c>
      <c r="G54" s="1085"/>
      <c r="H54" s="1086"/>
    </row>
    <row r="55" spans="1:8">
      <c r="A55" s="52" t="s">
        <v>902</v>
      </c>
      <c r="B55" s="962">
        <f>B22+B26</f>
        <v>0</v>
      </c>
      <c r="C55" s="846"/>
      <c r="D55" s="945">
        <f t="shared" si="0"/>
        <v>0</v>
      </c>
      <c r="E55" s="957" t="s">
        <v>915</v>
      </c>
      <c r="F55" s="1082"/>
      <c r="G55" s="1085"/>
      <c r="H55" s="1086"/>
    </row>
    <row r="56" spans="1:8">
      <c r="A56" s="52" t="s">
        <v>904</v>
      </c>
      <c r="B56" s="962">
        <f>B21+B25</f>
        <v>0</v>
      </c>
      <c r="C56" s="846"/>
      <c r="D56" s="945">
        <f t="shared" si="0"/>
        <v>0</v>
      </c>
      <c r="E56" s="957" t="s">
        <v>913</v>
      </c>
      <c r="F56" s="1082"/>
      <c r="G56" s="1085"/>
      <c r="H56" s="1086"/>
    </row>
    <row r="57" spans="1:8">
      <c r="A57" s="52" t="s">
        <v>905</v>
      </c>
      <c r="B57" s="962">
        <f>B23+B27</f>
        <v>0</v>
      </c>
      <c r="C57" s="846"/>
      <c r="D57" s="945">
        <f t="shared" si="0"/>
        <v>0</v>
      </c>
      <c r="E57" s="957" t="s">
        <v>917</v>
      </c>
      <c r="F57" s="1082"/>
      <c r="G57" s="1085"/>
      <c r="H57" s="1086"/>
    </row>
    <row r="58" spans="1:8">
      <c r="A58" s="52" t="s">
        <v>908</v>
      </c>
      <c r="B58" s="962">
        <f>B14</f>
        <v>0</v>
      </c>
      <c r="C58" s="846"/>
      <c r="D58" s="945">
        <f t="shared" si="0"/>
        <v>0</v>
      </c>
      <c r="E58" s="957" t="s">
        <v>910</v>
      </c>
      <c r="F58" s="1082"/>
    </row>
    <row r="59" spans="1:8">
      <c r="A59" s="52" t="s">
        <v>907</v>
      </c>
      <c r="B59" s="962">
        <f>B13</f>
        <v>0</v>
      </c>
      <c r="C59" s="846"/>
      <c r="D59" s="945">
        <f t="shared" si="0"/>
        <v>0</v>
      </c>
      <c r="E59" s="957" t="s">
        <v>911</v>
      </c>
      <c r="F59" s="1082"/>
    </row>
    <row r="60" spans="1:8">
      <c r="A60" s="52" t="s">
        <v>909</v>
      </c>
      <c r="B60" s="962">
        <f>B15</f>
        <v>1</v>
      </c>
      <c r="C60" s="846"/>
      <c r="D60" s="945">
        <f t="shared" si="0"/>
        <v>0</v>
      </c>
      <c r="E60" s="957" t="s">
        <v>933</v>
      </c>
      <c r="F60" s="1082"/>
    </row>
    <row r="61" spans="1:8">
      <c r="A61" s="52" t="s">
        <v>932</v>
      </c>
      <c r="B61" s="962">
        <f>B17</f>
        <v>1</v>
      </c>
      <c r="C61" s="846"/>
      <c r="D61" s="945">
        <f t="shared" si="0"/>
        <v>0</v>
      </c>
      <c r="E61" s="957" t="s">
        <v>915</v>
      </c>
      <c r="F61" s="1082"/>
    </row>
    <row r="62" spans="1:8">
      <c r="A62" s="52" t="s">
        <v>912</v>
      </c>
      <c r="B62" s="962">
        <f>B16+B18</f>
        <v>0</v>
      </c>
      <c r="C62" s="846"/>
      <c r="D62" s="945">
        <f t="shared" si="0"/>
        <v>0</v>
      </c>
      <c r="E62" s="957" t="s">
        <v>914</v>
      </c>
      <c r="F62" s="1082"/>
    </row>
    <row r="63" spans="1:8">
      <c r="A63" s="52" t="s">
        <v>139</v>
      </c>
      <c r="B63" s="865">
        <f>B5+B8</f>
        <v>0</v>
      </c>
      <c r="C63" s="846"/>
      <c r="D63" s="862">
        <f t="shared" si="0"/>
        <v>0</v>
      </c>
    </row>
    <row r="64" spans="1:8">
      <c r="A64" s="52" t="s">
        <v>140</v>
      </c>
      <c r="B64" s="865">
        <f>B6+B9</f>
        <v>0</v>
      </c>
      <c r="C64" s="846"/>
      <c r="D64" s="862">
        <f t="shared" si="0"/>
        <v>0</v>
      </c>
    </row>
    <row r="65" spans="1:4">
      <c r="A65" s="52" t="s">
        <v>888</v>
      </c>
      <c r="B65" s="865">
        <f>B7</f>
        <v>2</v>
      </c>
      <c r="C65" s="846"/>
      <c r="D65" s="862">
        <f t="shared" si="0"/>
        <v>0</v>
      </c>
    </row>
    <row r="66" spans="1:4">
      <c r="A66" s="52" t="s">
        <v>903</v>
      </c>
      <c r="B66" s="962">
        <f>B5+B8</f>
        <v>0</v>
      </c>
      <c r="C66" s="846"/>
      <c r="D66" s="862">
        <f t="shared" si="0"/>
        <v>0</v>
      </c>
    </row>
    <row r="67" spans="1:4">
      <c r="A67" s="52" t="s">
        <v>906</v>
      </c>
      <c r="B67" s="962">
        <f>B6+B9</f>
        <v>0</v>
      </c>
      <c r="C67" s="846"/>
      <c r="D67" s="945">
        <f t="shared" si="0"/>
        <v>0</v>
      </c>
    </row>
    <row r="68" spans="1:4">
      <c r="A68" s="52" t="s">
        <v>822</v>
      </c>
      <c r="B68" s="962">
        <f>B25+B27</f>
        <v>0</v>
      </c>
      <c r="C68" s="846"/>
      <c r="D68" s="945">
        <f t="shared" si="0"/>
        <v>0</v>
      </c>
    </row>
    <row r="69" spans="1:4">
      <c r="A69" s="52" t="s">
        <v>800</v>
      </c>
      <c r="B69" s="962">
        <f>B21+B23</f>
        <v>0</v>
      </c>
      <c r="C69" s="846"/>
      <c r="D69" s="945">
        <f t="shared" si="0"/>
        <v>0</v>
      </c>
    </row>
    <row r="70" spans="1:4">
      <c r="A70" s="52" t="s">
        <v>801</v>
      </c>
      <c r="B70" s="962">
        <f>B6+B9</f>
        <v>0</v>
      </c>
      <c r="C70" s="846"/>
      <c r="D70" s="945">
        <f t="shared" si="0"/>
        <v>0</v>
      </c>
    </row>
    <row r="71" spans="1:4">
      <c r="A71" s="52" t="s">
        <v>141</v>
      </c>
      <c r="B71" s="962">
        <f>B7+B10</f>
        <v>2</v>
      </c>
      <c r="C71" s="846"/>
      <c r="D71" s="945">
        <f t="shared" si="0"/>
        <v>0</v>
      </c>
    </row>
    <row r="72" spans="1:4">
      <c r="A72" s="52" t="s">
        <v>142</v>
      </c>
      <c r="B72" s="962">
        <f>B71</f>
        <v>2</v>
      </c>
      <c r="C72" s="846"/>
      <c r="D72" s="945">
        <f t="shared" si="0"/>
        <v>0</v>
      </c>
    </row>
    <row r="73" spans="1:4">
      <c r="A73" s="52" t="s">
        <v>145</v>
      </c>
      <c r="B73" s="962">
        <f>B29</f>
        <v>1</v>
      </c>
      <c r="C73" s="846"/>
      <c r="D73" s="945">
        <f t="shared" si="0"/>
        <v>0</v>
      </c>
    </row>
    <row r="74" spans="1:4">
      <c r="A74" s="52" t="s">
        <v>148</v>
      </c>
      <c r="B74" s="962">
        <f>B28</f>
        <v>1</v>
      </c>
      <c r="C74" s="846"/>
      <c r="D74" s="945">
        <f t="shared" si="0"/>
        <v>0</v>
      </c>
    </row>
    <row r="75" spans="1:4" ht="12" thickBot="1">
      <c r="A75" s="814" t="s">
        <v>889</v>
      </c>
      <c r="B75" s="963">
        <f>B30</f>
        <v>1</v>
      </c>
      <c r="C75" s="916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5"/>
      <c r="B82" s="96"/>
      <c r="C82" s="97"/>
      <c r="D82" s="71"/>
    </row>
    <row r="83" spans="1:4">
      <c r="A83" s="95"/>
      <c r="B83" s="96"/>
      <c r="C83" s="97"/>
      <c r="D83" s="71"/>
    </row>
    <row r="84" spans="1:4">
      <c r="A84" s="95"/>
      <c r="B84" s="96"/>
      <c r="C84" s="97"/>
      <c r="D84" s="71"/>
    </row>
    <row r="85" spans="1:4" ht="16.5" customHeight="1"/>
  </sheetData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0" zoomScale="123" zoomScaleNormal="130" zoomScaleSheetLayoutView="100" workbookViewId="0">
      <selection activeCell="A19" sqref="A19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096" t="s">
        <v>804</v>
      </c>
      <c r="B1" s="1097"/>
      <c r="C1" s="1097"/>
      <c r="D1" s="1097"/>
    </row>
    <row r="2" spans="1:11" ht="11.25" customHeight="1">
      <c r="A2" s="110" t="s">
        <v>10</v>
      </c>
      <c r="B2" s="782">
        <v>0</v>
      </c>
      <c r="C2" s="1009" t="s">
        <v>30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8" t="s">
        <v>1</v>
      </c>
      <c r="B3" s="789">
        <v>0</v>
      </c>
      <c r="C3" s="1098" t="s">
        <v>30</v>
      </c>
      <c r="D3" s="1099"/>
      <c r="F3" s="990"/>
      <c r="G3" s="991"/>
      <c r="H3" s="991"/>
      <c r="I3" s="991"/>
      <c r="J3" s="991"/>
      <c r="K3" s="992"/>
    </row>
    <row r="4" spans="1:11" ht="11.25" customHeight="1">
      <c r="A4" s="117" t="s">
        <v>150</v>
      </c>
      <c r="B4" s="782">
        <v>0</v>
      </c>
      <c r="C4" s="1100" t="s">
        <v>805</v>
      </c>
      <c r="D4" s="968"/>
    </row>
    <row r="5" spans="1:11">
      <c r="A5" s="116" t="s">
        <v>151</v>
      </c>
      <c r="B5" s="783">
        <v>0</v>
      </c>
      <c r="C5" s="1101"/>
      <c r="D5" s="1102"/>
    </row>
    <row r="6" spans="1:11">
      <c r="A6" s="830" t="s">
        <v>156</v>
      </c>
      <c r="B6" s="783">
        <v>0</v>
      </c>
      <c r="C6" s="1093" t="s">
        <v>30</v>
      </c>
      <c r="D6" s="1094"/>
    </row>
    <row r="7" spans="1:11" ht="11.25" customHeight="1" thickBot="1">
      <c r="A7" s="831" t="s">
        <v>806</v>
      </c>
      <c r="B7" s="146">
        <v>0</v>
      </c>
      <c r="C7" s="1093" t="s">
        <v>30</v>
      </c>
      <c r="D7" s="1094"/>
    </row>
    <row r="8" spans="1:11" ht="11.25" customHeight="1">
      <c r="A8" s="832" t="s">
        <v>152</v>
      </c>
      <c r="B8" s="143">
        <v>0</v>
      </c>
      <c r="C8" s="1103" t="s">
        <v>149</v>
      </c>
      <c r="D8" s="1104"/>
    </row>
    <row r="9" spans="1:11">
      <c r="A9" s="116" t="s">
        <v>153</v>
      </c>
      <c r="B9" s="789">
        <v>0</v>
      </c>
      <c r="C9" s="1105"/>
      <c r="D9" s="1106"/>
    </row>
    <row r="10" spans="1:11">
      <c r="A10" s="116" t="s">
        <v>155</v>
      </c>
      <c r="B10" s="789">
        <v>0</v>
      </c>
      <c r="C10" s="1093" t="s">
        <v>30</v>
      </c>
      <c r="D10" s="1094"/>
    </row>
    <row r="11" spans="1:11" ht="11.25" customHeight="1">
      <c r="A11" s="833" t="s">
        <v>154</v>
      </c>
      <c r="B11" s="789">
        <v>0</v>
      </c>
      <c r="C11" s="1107" t="s">
        <v>30</v>
      </c>
      <c r="D11" s="1108"/>
    </row>
    <row r="12" spans="1:11" ht="12" thickBot="1">
      <c r="A12" s="831" t="s">
        <v>807</v>
      </c>
      <c r="B12" s="146">
        <v>0</v>
      </c>
      <c r="C12" s="1107" t="s">
        <v>30</v>
      </c>
      <c r="D12" s="1108"/>
    </row>
    <row r="13" spans="1:11" ht="12" thickBot="1">
      <c r="A13" s="834" t="s">
        <v>147</v>
      </c>
      <c r="B13" s="147">
        <v>0</v>
      </c>
      <c r="C13" s="1083" t="s">
        <v>30</v>
      </c>
      <c r="D13" s="1084"/>
    </row>
    <row r="14" spans="1:11" ht="12" thickBot="1">
      <c r="A14" s="156" t="s">
        <v>146</v>
      </c>
      <c r="B14" s="153">
        <v>0</v>
      </c>
      <c r="C14" s="1083" t="s">
        <v>30</v>
      </c>
      <c r="D14" s="1084"/>
    </row>
    <row r="15" spans="1:11" ht="12" thickBot="1">
      <c r="A15" s="156" t="s">
        <v>143</v>
      </c>
      <c r="B15" s="147">
        <v>0</v>
      </c>
      <c r="C15" s="1083" t="s">
        <v>30</v>
      </c>
      <c r="D15" s="1084"/>
    </row>
    <row r="16" spans="1:11" ht="12" thickBot="1">
      <c r="A16" s="1095"/>
      <c r="B16" s="1095"/>
      <c r="C16" s="1095"/>
      <c r="D16" s="1095"/>
    </row>
    <row r="17" spans="1:11" ht="12.75">
      <c r="A17" s="98" t="s">
        <v>5</v>
      </c>
      <c r="B17" s="99" t="s">
        <v>0</v>
      </c>
      <c r="C17" s="119" t="s">
        <v>4</v>
      </c>
      <c r="D17" s="791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4">
        <f>2*(B4+B5+B8+B9)</f>
        <v>0</v>
      </c>
      <c r="C18" s="859">
        <v>9</v>
      </c>
      <c r="D18" s="786">
        <f t="shared" ref="D18:D49" si="0">C18*B18</f>
        <v>0</v>
      </c>
    </row>
    <row r="19" spans="1:11">
      <c r="A19" s="6" t="s">
        <v>808</v>
      </c>
      <c r="B19" s="114">
        <f>(IF(B2&lt;=1,2,IF(B2&lt;=1.5,3,IF(B2&lt;=2,4,IF(B2&lt;=2.5,5,6)))))*(B4+B5)-B21</f>
        <v>0</v>
      </c>
      <c r="C19" s="859"/>
      <c r="D19" s="786">
        <f t="shared" si="0"/>
        <v>0</v>
      </c>
    </row>
    <row r="20" spans="1:11">
      <c r="A20" s="6" t="s">
        <v>809</v>
      </c>
      <c r="B20" s="114">
        <f>(IF(B2&lt;=1,2,IF(B2&lt;=1.5,3,IF(B2&lt;=2,4,IF(B2&lt;=2.5,5,6)))))*(B9+B8)-B22</f>
        <v>0</v>
      </c>
      <c r="C20" s="859"/>
      <c r="D20" s="786">
        <f t="shared" si="0"/>
        <v>0</v>
      </c>
    </row>
    <row r="21" spans="1:11">
      <c r="A21" s="6" t="s">
        <v>810</v>
      </c>
      <c r="B21" s="114">
        <f>(IF(B2&lt;=1,2,IF(B2&lt;=1.5,3,IF(B2&lt;=2,4,IF(B2&lt;=2.5,5,6)))))*(B6)</f>
        <v>0</v>
      </c>
      <c r="C21" s="859"/>
      <c r="D21" s="786">
        <f t="shared" si="0"/>
        <v>0</v>
      </c>
    </row>
    <row r="22" spans="1:11" s="5" customFormat="1" ht="12" customHeight="1">
      <c r="A22" s="6" t="s">
        <v>811</v>
      </c>
      <c r="B22" s="114">
        <f>(IF(B2&lt;=1,2,IF(B2&lt;=1.5,3,IF(B2&lt;=2,4,IF(B2&lt;=2.5,5,6)))))*B11</f>
        <v>0</v>
      </c>
      <c r="C22" s="859"/>
      <c r="D22" s="786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4">
        <f>B2*2*(B5+B9)</f>
        <v>0</v>
      </c>
      <c r="C23" s="859"/>
      <c r="D23" s="786">
        <f t="shared" si="0"/>
        <v>0</v>
      </c>
    </row>
    <row r="24" spans="1:11">
      <c r="A24" s="835" t="s">
        <v>812</v>
      </c>
      <c r="B24" s="115">
        <f>B4+B5</f>
        <v>0</v>
      </c>
      <c r="C24" s="860"/>
      <c r="D24" s="786">
        <f t="shared" si="0"/>
        <v>0</v>
      </c>
    </row>
    <row r="25" spans="1:11">
      <c r="A25" s="835" t="s">
        <v>813</v>
      </c>
      <c r="B25" s="115">
        <f>B4+B5</f>
        <v>0</v>
      </c>
      <c r="C25" s="860"/>
      <c r="D25" s="786">
        <f t="shared" si="0"/>
        <v>0</v>
      </c>
    </row>
    <row r="26" spans="1:11">
      <c r="A26" s="835" t="s">
        <v>120</v>
      </c>
      <c r="B26" s="114">
        <f>(B8+B9)-B10</f>
        <v>0</v>
      </c>
      <c r="C26" s="859"/>
      <c r="D26" s="786">
        <f t="shared" si="0"/>
        <v>0</v>
      </c>
    </row>
    <row r="27" spans="1:11">
      <c r="A27" s="835" t="s">
        <v>121</v>
      </c>
      <c r="B27" s="114">
        <f>B10</f>
        <v>0</v>
      </c>
      <c r="C27" s="859"/>
      <c r="D27" s="786">
        <f t="shared" si="0"/>
        <v>0</v>
      </c>
    </row>
    <row r="28" spans="1:11">
      <c r="A28" s="7" t="s">
        <v>119</v>
      </c>
      <c r="B28" s="114">
        <f>B2*(B4+B5+B8+B9)</f>
        <v>0</v>
      </c>
      <c r="C28" s="859"/>
      <c r="D28" s="786">
        <f t="shared" si="0"/>
        <v>0</v>
      </c>
    </row>
    <row r="29" spans="1:11">
      <c r="A29" s="836" t="s">
        <v>229</v>
      </c>
      <c r="B29" s="114">
        <f>B4+B5</f>
        <v>0</v>
      </c>
      <c r="C29" s="859"/>
      <c r="D29" s="786">
        <f t="shared" si="0"/>
        <v>0</v>
      </c>
    </row>
    <row r="30" spans="1:11">
      <c r="A30" s="6" t="s">
        <v>118</v>
      </c>
      <c r="B30" s="114">
        <f>B28</f>
        <v>0</v>
      </c>
      <c r="C30" s="859"/>
      <c r="D30" s="786">
        <f t="shared" si="0"/>
        <v>0</v>
      </c>
    </row>
    <row r="31" spans="1:11">
      <c r="A31" s="6" t="s">
        <v>814</v>
      </c>
      <c r="B31" s="114">
        <f>B2*B4</f>
        <v>0</v>
      </c>
      <c r="C31" s="859"/>
      <c r="D31" s="786">
        <f t="shared" si="0"/>
        <v>0</v>
      </c>
    </row>
    <row r="32" spans="1:11">
      <c r="A32" s="6" t="s">
        <v>815</v>
      </c>
      <c r="B32" s="114">
        <f>B2*B5</f>
        <v>0</v>
      </c>
      <c r="C32" s="859"/>
      <c r="D32" s="786">
        <f t="shared" si="0"/>
        <v>0</v>
      </c>
    </row>
    <row r="33" spans="1:4">
      <c r="A33" s="6" t="s">
        <v>816</v>
      </c>
      <c r="B33" s="114">
        <f>B2*B8</f>
        <v>0</v>
      </c>
      <c r="C33" s="859"/>
      <c r="D33" s="786">
        <f t="shared" si="0"/>
        <v>0</v>
      </c>
    </row>
    <row r="34" spans="1:4">
      <c r="A34" s="6" t="s">
        <v>817</v>
      </c>
      <c r="B34" s="114">
        <f>B2*B9</f>
        <v>0</v>
      </c>
      <c r="C34" s="859"/>
      <c r="D34" s="786">
        <f t="shared" si="0"/>
        <v>0</v>
      </c>
    </row>
    <row r="35" spans="1:4">
      <c r="A35" s="6" t="s">
        <v>818</v>
      </c>
      <c r="B35" s="114">
        <f>B2*(B4+B5)</f>
        <v>0</v>
      </c>
      <c r="C35" s="859"/>
      <c r="D35" s="786">
        <f t="shared" si="0"/>
        <v>0</v>
      </c>
    </row>
    <row r="36" spans="1:4">
      <c r="A36" s="6" t="s">
        <v>819</v>
      </c>
      <c r="B36" s="114">
        <f>B2*(B8+B9)</f>
        <v>0</v>
      </c>
      <c r="C36" s="859"/>
      <c r="D36" s="786">
        <f t="shared" si="0"/>
        <v>0</v>
      </c>
    </row>
    <row r="37" spans="1:4">
      <c r="A37" s="7" t="s">
        <v>797</v>
      </c>
      <c r="B37" s="114">
        <f>B2*(B4+B5+B8+B9)</f>
        <v>0</v>
      </c>
      <c r="C37" s="859"/>
      <c r="D37" s="786">
        <f t="shared" si="0"/>
        <v>0</v>
      </c>
    </row>
    <row r="38" spans="1:4">
      <c r="A38" s="7" t="s">
        <v>820</v>
      </c>
      <c r="B38" s="115">
        <f>B2*(B4+B5)</f>
        <v>0</v>
      </c>
      <c r="C38" s="929"/>
      <c r="D38" s="786">
        <f t="shared" si="0"/>
        <v>0</v>
      </c>
    </row>
    <row r="39" spans="1:4">
      <c r="A39" s="6" t="s">
        <v>798</v>
      </c>
      <c r="B39" s="115">
        <f>B2*(B8+B9)</f>
        <v>0</v>
      </c>
      <c r="C39" s="859"/>
      <c r="D39" s="786">
        <f t="shared" si="0"/>
        <v>0</v>
      </c>
    </row>
    <row r="40" spans="1:4">
      <c r="A40" s="7" t="s">
        <v>139</v>
      </c>
      <c r="B40" s="115">
        <f>B4+B5</f>
        <v>0</v>
      </c>
      <c r="C40" s="860"/>
      <c r="D40" s="786">
        <f t="shared" si="0"/>
        <v>0</v>
      </c>
    </row>
    <row r="41" spans="1:4">
      <c r="A41" s="7" t="s">
        <v>140</v>
      </c>
      <c r="B41" s="115">
        <f>B8+B9</f>
        <v>0</v>
      </c>
      <c r="C41" s="860"/>
      <c r="D41" s="786">
        <f t="shared" si="0"/>
        <v>0</v>
      </c>
    </row>
    <row r="42" spans="1:4">
      <c r="A42" s="7" t="s">
        <v>821</v>
      </c>
      <c r="B42" s="115">
        <f>B40</f>
        <v>0</v>
      </c>
      <c r="C42" s="860"/>
      <c r="D42" s="786">
        <f t="shared" si="0"/>
        <v>0</v>
      </c>
    </row>
    <row r="43" spans="1:4">
      <c r="A43" s="7" t="s">
        <v>822</v>
      </c>
      <c r="B43" s="115">
        <f>B7</f>
        <v>0</v>
      </c>
      <c r="C43" s="860"/>
      <c r="D43" s="786">
        <f t="shared" si="0"/>
        <v>0</v>
      </c>
    </row>
    <row r="44" spans="1:4">
      <c r="A44" s="7" t="s">
        <v>800</v>
      </c>
      <c r="B44" s="115">
        <f>B12</f>
        <v>0</v>
      </c>
      <c r="C44" s="860"/>
      <c r="D44" s="786">
        <f t="shared" si="0"/>
        <v>0</v>
      </c>
    </row>
    <row r="45" spans="1:4" hidden="1">
      <c r="A45" s="7" t="s">
        <v>801</v>
      </c>
      <c r="B45" s="115">
        <f>B41</f>
        <v>0</v>
      </c>
      <c r="C45" s="860"/>
      <c r="D45" s="786">
        <f t="shared" si="0"/>
        <v>0</v>
      </c>
    </row>
    <row r="46" spans="1:4">
      <c r="A46" s="154" t="s">
        <v>145</v>
      </c>
      <c r="B46" s="115">
        <f>B14</f>
        <v>0</v>
      </c>
      <c r="C46" s="860"/>
      <c r="D46" s="786">
        <f t="shared" si="0"/>
        <v>0</v>
      </c>
    </row>
    <row r="47" spans="1:4">
      <c r="A47" s="154" t="s">
        <v>148</v>
      </c>
      <c r="B47" s="115">
        <f>B13</f>
        <v>0</v>
      </c>
      <c r="C47" s="860"/>
      <c r="D47" s="786">
        <f t="shared" si="0"/>
        <v>0</v>
      </c>
    </row>
    <row r="48" spans="1:4">
      <c r="A48" s="154" t="s">
        <v>802</v>
      </c>
      <c r="B48" s="155">
        <f>B15</f>
        <v>0</v>
      </c>
      <c r="C48" s="930"/>
      <c r="D48" s="786">
        <f t="shared" si="0"/>
        <v>0</v>
      </c>
    </row>
    <row r="49" spans="1:4" ht="12" thickBot="1">
      <c r="A49" s="30" t="s">
        <v>803</v>
      </c>
      <c r="B49" s="120">
        <f>B15</f>
        <v>0</v>
      </c>
      <c r="C49" s="931"/>
      <c r="D49" s="786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5"/>
      <c r="B63" s="96"/>
      <c r="C63" s="97"/>
      <c r="D63" s="71"/>
    </row>
    <row r="64" spans="1:4">
      <c r="A64" s="95"/>
      <c r="B64" s="96"/>
      <c r="C64" s="97"/>
      <c r="D64" s="71"/>
    </row>
    <row r="65" spans="1:4">
      <c r="A65" s="95"/>
      <c r="B65" s="96"/>
      <c r="C65" s="97"/>
      <c r="D65" s="71"/>
    </row>
    <row r="66" spans="1:4" ht="16.5" customHeight="1"/>
  </sheetData>
  <sheetProtection algorithmName="SHA-512" hashValue="Aac/XWIUAXH3gz3C+FTnaXu8Sp8xsRJrkUXxNNAKL0aAOynONWeWsFmJWWOgFJjqN7eyYAzbcVYaSvtOBbePfw==" saltValue="cxJ5fKNWM4fKcOFK+m3vgQ==" spinCount="100000" sheet="1" objects="1" scenarios="1"/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A32" sqref="A32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09" t="s">
        <v>823</v>
      </c>
      <c r="B1" s="1097"/>
      <c r="C1" s="1097"/>
      <c r="D1" s="1097"/>
    </row>
    <row r="2" spans="1:11" ht="11.25" customHeight="1">
      <c r="A2" s="110" t="s">
        <v>10</v>
      </c>
      <c r="B2" s="838">
        <v>0</v>
      </c>
      <c r="C2" s="1009" t="s">
        <v>30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 ht="11.25" customHeight="1">
      <c r="A4" s="122" t="s">
        <v>824</v>
      </c>
      <c r="B4" s="922">
        <v>0</v>
      </c>
      <c r="C4" s="1112" t="s">
        <v>30</v>
      </c>
      <c r="D4" s="977"/>
    </row>
    <row r="5" spans="1:11" ht="12" thickBot="1">
      <c r="A5" s="145" t="s">
        <v>794</v>
      </c>
      <c r="B5" s="932">
        <v>0</v>
      </c>
      <c r="C5" s="1098" t="s">
        <v>30</v>
      </c>
      <c r="D5" s="1099"/>
    </row>
    <row r="6" spans="1:11" ht="12" thickBot="1">
      <c r="A6" s="829" t="s">
        <v>147</v>
      </c>
      <c r="B6" s="924">
        <v>0</v>
      </c>
      <c r="C6" s="1083" t="s">
        <v>30</v>
      </c>
      <c r="D6" s="1084"/>
    </row>
    <row r="7" spans="1:11" ht="12" thickBot="1">
      <c r="A7" s="148" t="s">
        <v>146</v>
      </c>
      <c r="B7" s="925">
        <v>0</v>
      </c>
      <c r="C7" s="1083" t="s">
        <v>30</v>
      </c>
      <c r="D7" s="1084"/>
    </row>
    <row r="8" spans="1:11" ht="11.25" customHeight="1" thickBot="1">
      <c r="A8" s="148" t="s">
        <v>143</v>
      </c>
      <c r="B8" s="924">
        <v>0</v>
      </c>
      <c r="C8" s="1083" t="s">
        <v>30</v>
      </c>
      <c r="D8" s="1084"/>
    </row>
    <row r="9" spans="1:11" ht="12" thickBot="1">
      <c r="A9" s="1113"/>
      <c r="B9" s="1113"/>
      <c r="C9" s="1113"/>
      <c r="D9" s="1113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:D24" si="0">C11*B11</f>
        <v>0</v>
      </c>
    </row>
    <row r="12" spans="1:11">
      <c r="A12" s="7" t="s">
        <v>825</v>
      </c>
      <c r="B12" s="837">
        <f>B4</f>
        <v>0</v>
      </c>
      <c r="C12" s="844"/>
      <c r="D12" s="798">
        <f t="shared" si="0"/>
        <v>0</v>
      </c>
    </row>
    <row r="13" spans="1:11" s="5" customFormat="1" ht="12.75" customHeight="1">
      <c r="A13" s="6" t="s">
        <v>826</v>
      </c>
      <c r="B13" s="114">
        <f>B12</f>
        <v>0</v>
      </c>
      <c r="C13" s="842"/>
      <c r="D13" s="798">
        <f t="shared" si="0"/>
        <v>0</v>
      </c>
      <c r="E13" s="71"/>
      <c r="F13" s="71"/>
      <c r="G13"/>
      <c r="H13"/>
      <c r="I13"/>
      <c r="J13"/>
      <c r="K13"/>
    </row>
    <row r="14" spans="1:11">
      <c r="A14" s="7" t="s">
        <v>119</v>
      </c>
      <c r="B14" s="115">
        <f>2*B2*B4</f>
        <v>0</v>
      </c>
      <c r="C14" s="859"/>
      <c r="D14" s="798">
        <f t="shared" si="0"/>
        <v>0</v>
      </c>
    </row>
    <row r="15" spans="1:11">
      <c r="A15" s="6" t="s">
        <v>118</v>
      </c>
      <c r="B15" s="114">
        <f>B14</f>
        <v>0</v>
      </c>
      <c r="C15" s="859"/>
      <c r="D15" s="798">
        <f t="shared" si="0"/>
        <v>0</v>
      </c>
    </row>
    <row r="16" spans="1:11">
      <c r="A16" s="7" t="s">
        <v>797</v>
      </c>
      <c r="B16" s="115">
        <f>2*B2*B4</f>
        <v>0</v>
      </c>
      <c r="C16" s="859"/>
      <c r="D16" s="798">
        <f t="shared" si="0"/>
        <v>0</v>
      </c>
    </row>
    <row r="17" spans="1:4">
      <c r="A17" s="6" t="s">
        <v>798</v>
      </c>
      <c r="B17" s="114">
        <f>B2*B4*2</f>
        <v>0</v>
      </c>
      <c r="C17" s="859"/>
      <c r="D17" s="798">
        <f t="shared" si="0"/>
        <v>0</v>
      </c>
    </row>
    <row r="18" spans="1:4">
      <c r="A18" s="7" t="s">
        <v>140</v>
      </c>
      <c r="B18" s="115">
        <f>B4*2</f>
        <v>0</v>
      </c>
      <c r="C18" s="860"/>
      <c r="D18" s="798">
        <f t="shared" si="0"/>
        <v>0</v>
      </c>
    </row>
    <row r="19" spans="1:4">
      <c r="A19" s="7" t="s">
        <v>800</v>
      </c>
      <c r="B19" s="115">
        <f>B5</f>
        <v>0</v>
      </c>
      <c r="C19" s="860"/>
      <c r="D19" s="798">
        <f t="shared" si="0"/>
        <v>0</v>
      </c>
    </row>
    <row r="20" spans="1:4" hidden="1">
      <c r="A20" s="7" t="s">
        <v>801</v>
      </c>
      <c r="B20" s="115">
        <f>B4</f>
        <v>0</v>
      </c>
      <c r="C20" s="860"/>
      <c r="D20" s="798">
        <f t="shared" si="0"/>
        <v>0</v>
      </c>
    </row>
    <row r="21" spans="1:4">
      <c r="A21" s="154" t="s">
        <v>145</v>
      </c>
      <c r="B21" s="115">
        <f>B7</f>
        <v>0</v>
      </c>
      <c r="C21" s="860"/>
      <c r="D21" s="798">
        <f t="shared" si="0"/>
        <v>0</v>
      </c>
    </row>
    <row r="22" spans="1:4">
      <c r="A22" s="154" t="s">
        <v>148</v>
      </c>
      <c r="B22" s="115">
        <f>B6</f>
        <v>0</v>
      </c>
      <c r="C22" s="860"/>
      <c r="D22" s="798">
        <f t="shared" si="0"/>
        <v>0</v>
      </c>
    </row>
    <row r="23" spans="1:4">
      <c r="A23" s="154" t="s">
        <v>802</v>
      </c>
      <c r="B23" s="115">
        <f>B8</f>
        <v>0</v>
      </c>
      <c r="C23" s="860"/>
      <c r="D23" s="798">
        <f t="shared" si="0"/>
        <v>0</v>
      </c>
    </row>
    <row r="24" spans="1:4" ht="12" thickBot="1">
      <c r="A24" s="30" t="s">
        <v>803</v>
      </c>
      <c r="B24" s="120">
        <f>B8</f>
        <v>0</v>
      </c>
      <c r="C24" s="931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09" t="s">
        <v>827</v>
      </c>
      <c r="B1" s="1097"/>
      <c r="C1" s="1097"/>
      <c r="D1" s="1097"/>
    </row>
    <row r="2" spans="1:11" ht="11.25" customHeight="1">
      <c r="A2" s="110" t="s">
        <v>10</v>
      </c>
      <c r="B2" s="838">
        <v>2</v>
      </c>
      <c r="C2" s="1009" t="s">
        <v>125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>
      <c r="A4" s="122" t="s">
        <v>123</v>
      </c>
      <c r="B4" s="922">
        <v>0</v>
      </c>
      <c r="C4" s="1088" t="s">
        <v>30</v>
      </c>
      <c r="D4" s="1089"/>
    </row>
    <row r="5" spans="1:11" ht="12" thickBot="1">
      <c r="A5" s="145" t="s">
        <v>794</v>
      </c>
      <c r="B5" s="932">
        <v>0</v>
      </c>
      <c r="C5" s="1107" t="s">
        <v>30</v>
      </c>
      <c r="D5" s="1108"/>
    </row>
    <row r="6" spans="1:11" ht="12" thickBot="1">
      <c r="A6" s="829" t="s">
        <v>147</v>
      </c>
      <c r="B6" s="924">
        <v>0</v>
      </c>
      <c r="C6" s="1083" t="s">
        <v>30</v>
      </c>
      <c r="D6" s="1084"/>
    </row>
    <row r="7" spans="1:11" s="5" customFormat="1" ht="18" customHeight="1" thickBot="1">
      <c r="A7" s="148" t="s">
        <v>146</v>
      </c>
      <c r="B7" s="925">
        <v>0</v>
      </c>
      <c r="C7" s="1083" t="s">
        <v>30</v>
      </c>
      <c r="D7" s="1084"/>
      <c r="E7"/>
      <c r="F7"/>
      <c r="G7"/>
      <c r="H7"/>
      <c r="I7"/>
      <c r="J7"/>
      <c r="K7"/>
    </row>
    <row r="8" spans="1:11" ht="12" thickBot="1">
      <c r="A8" s="148" t="s">
        <v>143</v>
      </c>
      <c r="B8" s="925">
        <v>0</v>
      </c>
      <c r="C8" s="1083" t="s">
        <v>30</v>
      </c>
      <c r="D8" s="1084"/>
    </row>
    <row r="9" spans="1:11" ht="12" thickBot="1">
      <c r="A9" s="1113"/>
      <c r="B9" s="1113"/>
      <c r="C9" s="1113"/>
      <c r="D9" s="1113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" si="0">C11*B11</f>
        <v>0</v>
      </c>
    </row>
    <row r="12" spans="1:11">
      <c r="A12" s="6" t="s">
        <v>126</v>
      </c>
      <c r="B12" s="114">
        <f>B4</f>
        <v>0</v>
      </c>
      <c r="C12" s="859"/>
      <c r="D12" s="798">
        <f>C12*B12</f>
        <v>0</v>
      </c>
    </row>
    <row r="13" spans="1:11">
      <c r="A13" s="6" t="s">
        <v>796</v>
      </c>
      <c r="B13" s="114">
        <f>2*B4</f>
        <v>0</v>
      </c>
      <c r="C13" s="859"/>
      <c r="D13" s="798">
        <f>C13*B13</f>
        <v>0</v>
      </c>
      <c r="E13" s="71"/>
      <c r="F13" s="71"/>
    </row>
    <row r="14" spans="1:11">
      <c r="A14" s="7" t="s">
        <v>119</v>
      </c>
      <c r="B14" s="115">
        <f>B2*B4</f>
        <v>0</v>
      </c>
      <c r="C14" s="859"/>
      <c r="D14" s="798">
        <f t="shared" ref="D14:D25" si="1">C14*B14</f>
        <v>0</v>
      </c>
    </row>
    <row r="15" spans="1:11">
      <c r="A15" s="6" t="s">
        <v>118</v>
      </c>
      <c r="B15" s="114">
        <f>B16</f>
        <v>0</v>
      </c>
      <c r="C15" s="859"/>
      <c r="D15" s="798">
        <f t="shared" si="1"/>
        <v>0</v>
      </c>
    </row>
    <row r="16" spans="1:11">
      <c r="A16" s="7" t="s">
        <v>797</v>
      </c>
      <c r="B16" s="115">
        <f>B2*B4</f>
        <v>0</v>
      </c>
      <c r="C16" s="859"/>
      <c r="D16" s="798">
        <f t="shared" si="1"/>
        <v>0</v>
      </c>
    </row>
    <row r="17" spans="1:4">
      <c r="A17" s="6" t="s">
        <v>798</v>
      </c>
      <c r="B17" s="114">
        <f>B2*B4</f>
        <v>0</v>
      </c>
      <c r="C17" s="859"/>
      <c r="D17" s="798">
        <f t="shared" si="1"/>
        <v>0</v>
      </c>
    </row>
    <row r="18" spans="1:4">
      <c r="A18" s="7" t="s">
        <v>140</v>
      </c>
      <c r="B18" s="115">
        <f>2*B4</f>
        <v>0</v>
      </c>
      <c r="C18" s="860"/>
      <c r="D18" s="798">
        <f t="shared" si="1"/>
        <v>0</v>
      </c>
    </row>
    <row r="19" spans="1:4">
      <c r="A19" s="154" t="s">
        <v>799</v>
      </c>
      <c r="B19" s="155">
        <f>B4</f>
        <v>0</v>
      </c>
      <c r="C19" s="930"/>
      <c r="D19" s="798">
        <f t="shared" si="1"/>
        <v>0</v>
      </c>
    </row>
    <row r="20" spans="1:4">
      <c r="A20" s="7" t="s">
        <v>800</v>
      </c>
      <c r="B20" s="115">
        <f>B5</f>
        <v>0</v>
      </c>
      <c r="C20" s="930"/>
      <c r="D20" s="798">
        <f t="shared" si="1"/>
        <v>0</v>
      </c>
    </row>
    <row r="21" spans="1:4" hidden="1">
      <c r="A21" s="7" t="s">
        <v>801</v>
      </c>
      <c r="B21" s="115">
        <f>B4*2</f>
        <v>0</v>
      </c>
      <c r="C21" s="930"/>
      <c r="D21" s="798">
        <f t="shared" si="1"/>
        <v>0</v>
      </c>
    </row>
    <row r="22" spans="1:4">
      <c r="A22" s="154" t="s">
        <v>145</v>
      </c>
      <c r="B22" s="115">
        <f>B7</f>
        <v>0</v>
      </c>
      <c r="C22" s="930"/>
      <c r="D22" s="798">
        <f t="shared" si="1"/>
        <v>0</v>
      </c>
    </row>
    <row r="23" spans="1:4">
      <c r="A23" s="154" t="s">
        <v>148</v>
      </c>
      <c r="B23" s="115">
        <f>B6</f>
        <v>0</v>
      </c>
      <c r="C23" s="930"/>
      <c r="D23" s="798">
        <f t="shared" si="1"/>
        <v>0</v>
      </c>
    </row>
    <row r="24" spans="1:4">
      <c r="A24" s="154" t="s">
        <v>802</v>
      </c>
      <c r="B24" s="115">
        <f>B8</f>
        <v>0</v>
      </c>
      <c r="C24" s="930"/>
      <c r="D24" s="798">
        <f t="shared" si="1"/>
        <v>0</v>
      </c>
    </row>
    <row r="25" spans="1:4" ht="12" thickBot="1">
      <c r="A25" s="30" t="s">
        <v>803</v>
      </c>
      <c r="B25" s="120">
        <f>B8</f>
        <v>0</v>
      </c>
      <c r="C25" s="931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09" t="s">
        <v>793</v>
      </c>
      <c r="B1" s="1097"/>
      <c r="C1" s="1097"/>
      <c r="D1" s="1097"/>
    </row>
    <row r="2" spans="1:11" ht="11.25" customHeight="1">
      <c r="A2" s="110" t="s">
        <v>10</v>
      </c>
      <c r="B2" s="863">
        <v>0</v>
      </c>
      <c r="C2" s="1009" t="s">
        <v>125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67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>
      <c r="A4" s="122" t="s">
        <v>127</v>
      </c>
      <c r="B4" s="866">
        <v>2</v>
      </c>
      <c r="C4" s="1112" t="s">
        <v>128</v>
      </c>
      <c r="D4" s="977"/>
      <c r="F4" s="121"/>
      <c r="G4" s="121"/>
      <c r="H4" s="121"/>
      <c r="I4" s="121"/>
      <c r="J4" s="121"/>
      <c r="K4" s="121"/>
    </row>
    <row r="5" spans="1:11">
      <c r="A5" s="111" t="s">
        <v>123</v>
      </c>
      <c r="B5" s="864">
        <v>0</v>
      </c>
      <c r="C5" s="1011" t="s">
        <v>30</v>
      </c>
      <c r="D5" s="1012"/>
    </row>
    <row r="6" spans="1:11" ht="12" thickBot="1">
      <c r="A6" s="145" t="s">
        <v>794</v>
      </c>
      <c r="B6" s="146">
        <v>0</v>
      </c>
      <c r="C6" s="1098" t="s">
        <v>30</v>
      </c>
      <c r="D6" s="1099"/>
    </row>
    <row r="7" spans="1:11" ht="12" thickBot="1">
      <c r="A7" s="829" t="s">
        <v>147</v>
      </c>
      <c r="B7" s="868">
        <v>0</v>
      </c>
      <c r="C7" s="1114" t="s">
        <v>30</v>
      </c>
      <c r="D7" s="1115"/>
    </row>
    <row r="8" spans="1:11" s="5" customFormat="1" ht="18" customHeight="1" thickBot="1">
      <c r="A8" s="829" t="s">
        <v>146</v>
      </c>
      <c r="B8" s="868">
        <v>0</v>
      </c>
      <c r="C8" s="1114" t="s">
        <v>30</v>
      </c>
      <c r="D8" s="1115"/>
      <c r="E8"/>
      <c r="F8"/>
      <c r="G8"/>
      <c r="H8"/>
      <c r="I8"/>
      <c r="J8"/>
      <c r="K8"/>
    </row>
    <row r="9" spans="1:11" ht="12" thickBot="1">
      <c r="A9" s="148" t="s">
        <v>143</v>
      </c>
      <c r="B9" s="153">
        <v>0</v>
      </c>
      <c r="C9" s="1116" t="s">
        <v>30</v>
      </c>
      <c r="D9" s="1117"/>
    </row>
    <row r="10" spans="1:11" ht="12" thickBot="1">
      <c r="A10" s="1113"/>
      <c r="B10" s="1113"/>
      <c r="C10" s="1113"/>
      <c r="D10" s="1113"/>
    </row>
    <row r="11" spans="1:11" ht="12.75">
      <c r="A11" s="98" t="s">
        <v>5</v>
      </c>
      <c r="B11" s="99" t="s">
        <v>0</v>
      </c>
      <c r="C11" s="119" t="s">
        <v>4</v>
      </c>
      <c r="D11" s="799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4">
        <f>2*B5*B4</f>
        <v>0</v>
      </c>
      <c r="C12" s="859">
        <v>9</v>
      </c>
      <c r="D12" s="798">
        <f t="shared" ref="D12:D26" si="0">C12*B12</f>
        <v>0</v>
      </c>
    </row>
    <row r="13" spans="1:11">
      <c r="A13" s="6" t="s">
        <v>129</v>
      </c>
      <c r="B13" s="114">
        <f>(B4-1)*B5</f>
        <v>0</v>
      </c>
      <c r="C13" s="859"/>
      <c r="D13" s="798">
        <f t="shared" si="0"/>
        <v>0</v>
      </c>
    </row>
    <row r="14" spans="1:11">
      <c r="A14" s="6" t="s">
        <v>796</v>
      </c>
      <c r="B14" s="114">
        <f>2*B5</f>
        <v>0</v>
      </c>
      <c r="C14" s="859"/>
      <c r="D14" s="798">
        <f t="shared" si="0"/>
        <v>0</v>
      </c>
      <c r="E14" s="71"/>
      <c r="F14" s="71"/>
    </row>
    <row r="15" spans="1:11">
      <c r="A15" s="7" t="s">
        <v>119</v>
      </c>
      <c r="B15" s="115">
        <f>B2*B5</f>
        <v>0</v>
      </c>
      <c r="C15" s="859"/>
      <c r="D15" s="798">
        <f t="shared" si="0"/>
        <v>0</v>
      </c>
    </row>
    <row r="16" spans="1:11">
      <c r="A16" s="6" t="s">
        <v>118</v>
      </c>
      <c r="B16" s="114">
        <f>B15</f>
        <v>0</v>
      </c>
      <c r="C16" s="859"/>
      <c r="D16" s="798">
        <f t="shared" si="0"/>
        <v>0</v>
      </c>
    </row>
    <row r="17" spans="1:4">
      <c r="A17" s="7" t="s">
        <v>797</v>
      </c>
      <c r="B17" s="115">
        <f>B2*B5</f>
        <v>0</v>
      </c>
      <c r="C17" s="859"/>
      <c r="D17" s="798">
        <f t="shared" si="0"/>
        <v>0</v>
      </c>
    </row>
    <row r="18" spans="1:4">
      <c r="A18" s="6" t="s">
        <v>798</v>
      </c>
      <c r="B18" s="114">
        <f>B2*B5</f>
        <v>0</v>
      </c>
      <c r="C18" s="859"/>
      <c r="D18" s="798">
        <f t="shared" si="0"/>
        <v>0</v>
      </c>
    </row>
    <row r="19" spans="1:4">
      <c r="A19" s="7" t="s">
        <v>140</v>
      </c>
      <c r="B19" s="115">
        <f>B5</f>
        <v>0</v>
      </c>
      <c r="C19" s="860"/>
      <c r="D19" s="798">
        <f t="shared" si="0"/>
        <v>0</v>
      </c>
    </row>
    <row r="20" spans="1:4">
      <c r="A20" s="154" t="s">
        <v>799</v>
      </c>
      <c r="B20" s="155">
        <f>B13</f>
        <v>0</v>
      </c>
      <c r="C20" s="930"/>
      <c r="D20" s="798">
        <f t="shared" si="0"/>
        <v>0</v>
      </c>
    </row>
    <row r="21" spans="1:4">
      <c r="A21" s="7" t="s">
        <v>800</v>
      </c>
      <c r="B21" s="115">
        <f>B6</f>
        <v>0</v>
      </c>
      <c r="C21" s="930"/>
      <c r="D21" s="798">
        <f t="shared" si="0"/>
        <v>0</v>
      </c>
    </row>
    <row r="22" spans="1:4">
      <c r="A22" s="7" t="s">
        <v>801</v>
      </c>
      <c r="B22" s="115">
        <f>B5</f>
        <v>0</v>
      </c>
      <c r="C22" s="930"/>
      <c r="D22" s="798">
        <f t="shared" si="0"/>
        <v>0</v>
      </c>
    </row>
    <row r="23" spans="1:4">
      <c r="A23" s="154" t="s">
        <v>145</v>
      </c>
      <c r="B23" s="115">
        <f>B8</f>
        <v>0</v>
      </c>
      <c r="C23" s="930"/>
      <c r="D23" s="798">
        <f t="shared" si="0"/>
        <v>0</v>
      </c>
    </row>
    <row r="24" spans="1:4">
      <c r="A24" s="154" t="s">
        <v>148</v>
      </c>
      <c r="B24" s="115">
        <f>B7</f>
        <v>0</v>
      </c>
      <c r="C24" s="930"/>
      <c r="D24" s="798">
        <f t="shared" si="0"/>
        <v>0</v>
      </c>
    </row>
    <row r="25" spans="1:4">
      <c r="A25" s="154" t="s">
        <v>802</v>
      </c>
      <c r="B25" s="115">
        <f>B9</f>
        <v>0</v>
      </c>
      <c r="C25" s="930"/>
      <c r="D25" s="798">
        <f t="shared" si="0"/>
        <v>0</v>
      </c>
    </row>
    <row r="26" spans="1:4" ht="12" thickBot="1">
      <c r="A26" s="30" t="s">
        <v>803</v>
      </c>
      <c r="B26" s="120">
        <f>B9</f>
        <v>0</v>
      </c>
      <c r="C26" s="931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09" t="s">
        <v>834</v>
      </c>
      <c r="B1" s="1097"/>
      <c r="C1" s="1097"/>
      <c r="D1" s="1097"/>
    </row>
    <row r="2" spans="1:11">
      <c r="A2" s="110" t="s">
        <v>10</v>
      </c>
      <c r="B2" s="838">
        <v>0</v>
      </c>
      <c r="D2" s="987" t="s">
        <v>122</v>
      </c>
      <c r="E2" s="988"/>
      <c r="F2" s="988"/>
      <c r="G2" s="988"/>
      <c r="H2" s="988"/>
      <c r="I2" s="989"/>
    </row>
    <row r="3" spans="1:11" ht="12" thickBot="1">
      <c r="A3" s="112" t="s">
        <v>1</v>
      </c>
      <c r="B3" s="839">
        <v>0</v>
      </c>
      <c r="D3" s="990"/>
      <c r="E3" s="991"/>
      <c r="F3" s="991"/>
      <c r="G3" s="991"/>
      <c r="H3" s="991"/>
      <c r="I3" s="992"/>
    </row>
    <row r="4" spans="1:11" ht="12" thickBot="1">
      <c r="A4" s="111" t="s">
        <v>123</v>
      </c>
      <c r="B4" s="840">
        <v>0</v>
      </c>
    </row>
    <row r="5" spans="1:11" ht="12" thickBot="1">
      <c r="A5" s="829" t="s">
        <v>147</v>
      </c>
      <c r="B5" s="924">
        <v>0</v>
      </c>
    </row>
    <row r="6" spans="1:11" ht="12" thickBot="1">
      <c r="A6" s="829" t="s">
        <v>146</v>
      </c>
      <c r="B6" s="924">
        <v>0</v>
      </c>
    </row>
    <row r="7" spans="1:11" ht="12" thickBot="1">
      <c r="A7" s="1113"/>
      <c r="B7" s="1113"/>
      <c r="C7" s="1113"/>
      <c r="D7" s="1113"/>
    </row>
    <row r="8" spans="1:11" ht="12.75">
      <c r="A8" s="98" t="s">
        <v>5</v>
      </c>
      <c r="B8" s="99" t="s">
        <v>0</v>
      </c>
      <c r="C8" s="119" t="s">
        <v>4</v>
      </c>
      <c r="D8" s="848" t="s">
        <v>8</v>
      </c>
      <c r="E8" s="5"/>
      <c r="F8" s="5"/>
      <c r="G8" s="5"/>
      <c r="H8" s="5"/>
      <c r="I8" s="5"/>
      <c r="J8" s="5"/>
      <c r="K8" s="5"/>
    </row>
    <row r="9" spans="1:11">
      <c r="A9" s="849" t="s">
        <v>835</v>
      </c>
      <c r="B9" s="114">
        <f>(B2-0.05)*B4</f>
        <v>0</v>
      </c>
      <c r="C9" s="859">
        <v>9</v>
      </c>
      <c r="D9" s="847">
        <f t="shared" ref="D9:D20" si="0">C9*B9</f>
        <v>0</v>
      </c>
    </row>
    <row r="10" spans="1:11">
      <c r="A10" s="849" t="s">
        <v>525</v>
      </c>
      <c r="B10" s="114">
        <f>(B2-0.063)*B4</f>
        <v>0</v>
      </c>
      <c r="C10" s="859"/>
      <c r="D10" s="847">
        <f t="shared" si="0"/>
        <v>0</v>
      </c>
    </row>
    <row r="11" spans="1:11">
      <c r="A11" s="849" t="s">
        <v>836</v>
      </c>
      <c r="B11" s="114">
        <f>2*B4</f>
        <v>0</v>
      </c>
      <c r="C11" s="859"/>
      <c r="D11" s="847">
        <f t="shared" si="0"/>
        <v>0</v>
      </c>
      <c r="E11" s="71"/>
      <c r="F11" s="71"/>
    </row>
    <row r="12" spans="1:11">
      <c r="A12" s="850" t="s">
        <v>837</v>
      </c>
      <c r="B12" s="115">
        <f>(B2-0.055)*B4</f>
        <v>0</v>
      </c>
      <c r="C12" s="859"/>
      <c r="D12" s="847">
        <f t="shared" si="0"/>
        <v>0</v>
      </c>
    </row>
    <row r="13" spans="1:11">
      <c r="A13" s="849" t="s">
        <v>838</v>
      </c>
      <c r="B13" s="114">
        <f>2*B4</f>
        <v>0</v>
      </c>
      <c r="C13" s="859"/>
      <c r="D13" s="847">
        <f t="shared" si="0"/>
        <v>0</v>
      </c>
    </row>
    <row r="14" spans="1:11">
      <c r="A14" s="850" t="s">
        <v>839</v>
      </c>
      <c r="B14" s="115">
        <f>B4</f>
        <v>0</v>
      </c>
      <c r="C14" s="859"/>
      <c r="D14" s="847">
        <f t="shared" si="0"/>
        <v>0</v>
      </c>
    </row>
    <row r="15" spans="1:11">
      <c r="A15" s="849" t="s">
        <v>840</v>
      </c>
      <c r="B15" s="114">
        <f>B4</f>
        <v>0</v>
      </c>
      <c r="C15" s="859"/>
      <c r="D15" s="847">
        <f t="shared" si="0"/>
        <v>0</v>
      </c>
    </row>
    <row r="16" spans="1:11">
      <c r="A16" s="850" t="s">
        <v>841</v>
      </c>
      <c r="B16" s="115">
        <f>B4*2</f>
        <v>0</v>
      </c>
      <c r="C16" s="860"/>
      <c r="D16" s="847">
        <f t="shared" si="0"/>
        <v>0</v>
      </c>
    </row>
    <row r="17" spans="1:4">
      <c r="A17" s="850" t="s">
        <v>842</v>
      </c>
      <c r="B17" s="115">
        <f>B4</f>
        <v>0</v>
      </c>
      <c r="C17" s="860"/>
      <c r="D17" s="847">
        <f t="shared" si="0"/>
        <v>0</v>
      </c>
    </row>
    <row r="18" spans="1:4">
      <c r="A18" s="850" t="s">
        <v>843</v>
      </c>
      <c r="B18" s="115">
        <f>B4</f>
        <v>0</v>
      </c>
      <c r="C18" s="860"/>
      <c r="D18" s="847">
        <f t="shared" si="0"/>
        <v>0</v>
      </c>
    </row>
    <row r="19" spans="1:4">
      <c r="A19" s="850" t="s">
        <v>145</v>
      </c>
      <c r="B19" s="115">
        <f>B6</f>
        <v>0</v>
      </c>
      <c r="C19" s="860"/>
      <c r="D19" s="847">
        <f t="shared" si="0"/>
        <v>0</v>
      </c>
    </row>
    <row r="20" spans="1:4">
      <c r="A20" s="850" t="s">
        <v>148</v>
      </c>
      <c r="B20" s="115">
        <f>B5</f>
        <v>0</v>
      </c>
      <c r="C20" s="860"/>
      <c r="D20" s="847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981" t="s">
        <v>177</v>
      </c>
      <c r="B1" s="982"/>
      <c r="C1" s="982"/>
      <c r="D1" s="1004"/>
    </row>
    <row r="2" spans="1:11" ht="15" thickBot="1">
      <c r="A2" s="1005" t="s">
        <v>3</v>
      </c>
      <c r="B2" s="1006"/>
      <c r="C2" s="1006"/>
      <c r="D2" s="1007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18" t="s">
        <v>30</v>
      </c>
      <c r="D3" s="1118"/>
      <c r="F3" s="990"/>
      <c r="G3" s="991"/>
      <c r="H3" s="991"/>
      <c r="I3" s="991"/>
      <c r="J3" s="991"/>
      <c r="K3" s="992"/>
    </row>
    <row r="4" spans="1:11" ht="12" thickBot="1">
      <c r="A4" s="46" t="s">
        <v>179</v>
      </c>
      <c r="B4" s="907">
        <v>1</v>
      </c>
      <c r="C4" s="1119" t="s">
        <v>30</v>
      </c>
      <c r="D4" s="1119"/>
    </row>
    <row r="5" spans="1:11">
      <c r="A5" s="190" t="s">
        <v>180</v>
      </c>
      <c r="B5" s="933">
        <v>1</v>
      </c>
      <c r="C5" s="1120" t="s">
        <v>30</v>
      </c>
      <c r="D5" s="1120"/>
    </row>
    <row r="6" spans="1:11">
      <c r="A6" s="49" t="s">
        <v>181</v>
      </c>
      <c r="B6" s="919">
        <v>0</v>
      </c>
      <c r="C6" s="1121" t="s">
        <v>30</v>
      </c>
      <c r="D6" s="1121"/>
    </row>
    <row r="7" spans="1:11" ht="12" thickBot="1">
      <c r="A7" s="191" t="s">
        <v>182</v>
      </c>
      <c r="B7" s="912">
        <v>0</v>
      </c>
      <c r="C7" s="1122" t="s">
        <v>30</v>
      </c>
      <c r="D7" s="1122"/>
    </row>
    <row r="8" spans="1:11">
      <c r="A8" s="172" t="s">
        <v>157</v>
      </c>
      <c r="B8" s="920">
        <v>1</v>
      </c>
      <c r="C8" s="1120" t="s">
        <v>30</v>
      </c>
      <c r="D8" s="1120"/>
    </row>
    <row r="9" spans="1:11">
      <c r="A9" s="152" t="s">
        <v>144</v>
      </c>
      <c r="B9" s="911">
        <v>2</v>
      </c>
      <c r="C9" s="1135" t="s">
        <v>30</v>
      </c>
      <c r="D9" s="1135"/>
      <c r="E9" s="192"/>
      <c r="H9" s="71"/>
      <c r="I9" s="71"/>
      <c r="J9" s="71"/>
    </row>
    <row r="10" spans="1:11" ht="12" thickBot="1">
      <c r="A10" s="139" t="s">
        <v>147</v>
      </c>
      <c r="B10" s="912">
        <v>3</v>
      </c>
      <c r="C10" s="1122" t="s">
        <v>30</v>
      </c>
      <c r="D10" s="1122"/>
      <c r="E10" s="193"/>
      <c r="H10" s="71"/>
      <c r="I10" s="71"/>
      <c r="J10" s="71"/>
    </row>
    <row r="11" spans="1:11" ht="12" thickBot="1">
      <c r="A11" s="1123" t="s">
        <v>183</v>
      </c>
      <c r="B11" s="1123"/>
      <c r="C11" s="1123"/>
      <c r="D11" s="1123"/>
    </row>
    <row r="12" spans="1:11">
      <c r="A12" s="180" t="s">
        <v>184</v>
      </c>
      <c r="B12" s="934">
        <v>1</v>
      </c>
      <c r="C12" s="1124" t="s">
        <v>33</v>
      </c>
      <c r="D12" s="1125"/>
    </row>
    <row r="13" spans="1:11">
      <c r="A13" s="181" t="s">
        <v>185</v>
      </c>
      <c r="B13" s="935">
        <v>0</v>
      </c>
      <c r="C13" s="1053" t="s">
        <v>33</v>
      </c>
      <c r="D13" s="1054"/>
    </row>
    <row r="14" spans="1:11">
      <c r="A14" s="181" t="s">
        <v>186</v>
      </c>
      <c r="B14" s="936">
        <v>0</v>
      </c>
      <c r="C14" s="1055" t="s">
        <v>33</v>
      </c>
      <c r="D14" s="1057"/>
    </row>
    <row r="15" spans="1:11" ht="12" thickBot="1">
      <c r="A15" s="1136"/>
      <c r="B15" s="1137"/>
      <c r="C15" s="1137"/>
      <c r="D15" s="1138"/>
    </row>
    <row r="16" spans="1:11">
      <c r="A16" s="182" t="s">
        <v>187</v>
      </c>
      <c r="B16" s="937">
        <f>CEILING((B3-0.1)/0.4,1)+1</f>
        <v>4</v>
      </c>
      <c r="C16" s="1139" t="s">
        <v>29</v>
      </c>
      <c r="D16" s="1140"/>
    </row>
    <row r="17" spans="1:4" ht="12" thickBot="1">
      <c r="A17" s="183" t="s">
        <v>188</v>
      </c>
      <c r="B17" s="938">
        <f>SUM(B5:B7)</f>
        <v>1</v>
      </c>
      <c r="C17" s="1141" t="s">
        <v>29</v>
      </c>
      <c r="D17" s="1142"/>
    </row>
    <row r="18" spans="1:4" ht="12" thickBot="1">
      <c r="A18" s="1143"/>
      <c r="B18" s="1143"/>
      <c r="C18" s="1143"/>
      <c r="D18" s="1143"/>
    </row>
    <row r="19" spans="1:4" ht="12.75">
      <c r="A19" s="57" t="s">
        <v>7</v>
      </c>
      <c r="B19" s="100" t="s">
        <v>0</v>
      </c>
      <c r="C19" s="58" t="s">
        <v>4</v>
      </c>
      <c r="D19" s="59" t="s">
        <v>8</v>
      </c>
    </row>
    <row r="20" spans="1:4">
      <c r="A20" s="52" t="s">
        <v>189</v>
      </c>
      <c r="B20" s="163">
        <f>B3*B17</f>
        <v>1</v>
      </c>
      <c r="C20" s="846">
        <v>9</v>
      </c>
      <c r="D20" s="164">
        <f t="shared" ref="D20:D43" si="0">B20*C20</f>
        <v>9</v>
      </c>
    </row>
    <row r="21" spans="1:4">
      <c r="A21" s="184" t="s">
        <v>190</v>
      </c>
      <c r="B21" s="81">
        <f>B3*B17</f>
        <v>1</v>
      </c>
      <c r="C21" s="846"/>
      <c r="D21" s="164">
        <f t="shared" si="0"/>
        <v>0</v>
      </c>
    </row>
    <row r="22" spans="1:4">
      <c r="A22" s="184" t="s">
        <v>191</v>
      </c>
      <c r="B22" s="82">
        <f>(B3-0.026)*B6</f>
        <v>0</v>
      </c>
      <c r="C22" s="843"/>
      <c r="D22" s="166">
        <f t="shared" si="0"/>
        <v>0</v>
      </c>
    </row>
    <row r="23" spans="1:4">
      <c r="A23" s="184" t="s">
        <v>192</v>
      </c>
      <c r="B23" s="81">
        <f>(B3-0.07)*B17</f>
        <v>0.92999999999999994</v>
      </c>
      <c r="C23" s="846"/>
      <c r="D23" s="164">
        <f t="shared" si="0"/>
        <v>0</v>
      </c>
    </row>
    <row r="24" spans="1:4">
      <c r="A24" s="184" t="s">
        <v>193</v>
      </c>
      <c r="B24" s="82">
        <f>(B3-0.002)*B17*2</f>
        <v>1.996</v>
      </c>
      <c r="C24" s="843"/>
      <c r="D24" s="166">
        <f t="shared" si="0"/>
        <v>0</v>
      </c>
    </row>
    <row r="25" spans="1:4" ht="11.25" customHeight="1">
      <c r="A25" s="184" t="s">
        <v>194</v>
      </c>
      <c r="B25" s="82">
        <f>B3*B17</f>
        <v>1</v>
      </c>
      <c r="C25" s="843"/>
      <c r="D25" s="166">
        <f t="shared" si="0"/>
        <v>0</v>
      </c>
    </row>
    <row r="26" spans="1:4">
      <c r="A26" s="184" t="s">
        <v>195</v>
      </c>
      <c r="B26" s="82">
        <f>(B16-1)*B17</f>
        <v>3</v>
      </c>
      <c r="C26" s="843"/>
      <c r="D26" s="166">
        <f t="shared" si="0"/>
        <v>0</v>
      </c>
    </row>
    <row r="27" spans="1:4">
      <c r="A27" s="162" t="s">
        <v>167</v>
      </c>
      <c r="B27" s="82">
        <f>B17-B8</f>
        <v>0</v>
      </c>
      <c r="C27" s="843"/>
      <c r="D27" s="166">
        <f t="shared" si="0"/>
        <v>0</v>
      </c>
    </row>
    <row r="28" spans="1:4">
      <c r="A28" s="162" t="s">
        <v>168</v>
      </c>
      <c r="B28" s="82">
        <f>B8</f>
        <v>1</v>
      </c>
      <c r="C28" s="843"/>
      <c r="D28" s="166">
        <f t="shared" si="0"/>
        <v>0</v>
      </c>
    </row>
    <row r="29" spans="1:4">
      <c r="A29" s="184" t="s">
        <v>196</v>
      </c>
      <c r="B29" s="82">
        <f>(IF(B4&gt;2,B16,0))*B17</f>
        <v>0</v>
      </c>
      <c r="C29" s="843"/>
      <c r="D29" s="166">
        <f t="shared" si="0"/>
        <v>0</v>
      </c>
    </row>
    <row r="30" spans="1:4">
      <c r="A30" s="184" t="s">
        <v>197</v>
      </c>
      <c r="B30" s="82">
        <f>(IF(B4&lt;=2,B16,0))*B17</f>
        <v>4</v>
      </c>
      <c r="C30" s="843"/>
      <c r="D30" s="166">
        <f t="shared" si="0"/>
        <v>0</v>
      </c>
    </row>
    <row r="31" spans="1:4" ht="12.75" customHeight="1">
      <c r="A31" s="162" t="s">
        <v>169</v>
      </c>
      <c r="B31" s="82">
        <f>B17-B8</f>
        <v>0</v>
      </c>
      <c r="C31" s="843"/>
      <c r="D31" s="166">
        <f t="shared" si="0"/>
        <v>0</v>
      </c>
    </row>
    <row r="32" spans="1:4">
      <c r="A32" s="184" t="s">
        <v>198</v>
      </c>
      <c r="B32" s="82">
        <f>B17*2+(B17-B8)*2</f>
        <v>2</v>
      </c>
      <c r="C32" s="843"/>
      <c r="D32" s="166">
        <f t="shared" si="0"/>
        <v>0</v>
      </c>
    </row>
    <row r="33" spans="1:4">
      <c r="A33" s="184" t="s">
        <v>199</v>
      </c>
      <c r="B33" s="82">
        <f>2*B5</f>
        <v>2</v>
      </c>
      <c r="C33" s="843"/>
      <c r="D33" s="166">
        <f t="shared" si="0"/>
        <v>0</v>
      </c>
    </row>
    <row r="34" spans="1:4">
      <c r="A34" s="184" t="s">
        <v>200</v>
      </c>
      <c r="B34" s="82">
        <f>(B6+B7)*2</f>
        <v>0</v>
      </c>
      <c r="C34" s="843"/>
      <c r="D34" s="166">
        <f t="shared" si="0"/>
        <v>0</v>
      </c>
    </row>
    <row r="35" spans="1:4">
      <c r="A35" s="184" t="s">
        <v>201</v>
      </c>
      <c r="B35" s="82">
        <f>B5*2</f>
        <v>2</v>
      </c>
      <c r="C35" s="843"/>
      <c r="D35" s="166">
        <f t="shared" si="0"/>
        <v>0</v>
      </c>
    </row>
    <row r="36" spans="1:4">
      <c r="A36" s="184" t="s">
        <v>202</v>
      </c>
      <c r="B36" s="82">
        <f>2*(B6+B7)</f>
        <v>0</v>
      </c>
      <c r="C36" s="843"/>
      <c r="D36" s="166">
        <f t="shared" si="0"/>
        <v>0</v>
      </c>
    </row>
    <row r="37" spans="1:4">
      <c r="A37" s="184" t="s">
        <v>203</v>
      </c>
      <c r="B37" s="82">
        <f>2*B6</f>
        <v>0</v>
      </c>
      <c r="C37" s="843"/>
      <c r="D37" s="166">
        <f t="shared" si="0"/>
        <v>0</v>
      </c>
    </row>
    <row r="38" spans="1:4">
      <c r="A38" s="184" t="s">
        <v>204</v>
      </c>
      <c r="B38" s="82">
        <f>2*B7</f>
        <v>0</v>
      </c>
      <c r="C38" s="843"/>
      <c r="D38" s="166">
        <f t="shared" si="0"/>
        <v>0</v>
      </c>
    </row>
    <row r="39" spans="1:4">
      <c r="A39" s="184" t="s">
        <v>205</v>
      </c>
      <c r="B39" s="82">
        <f>B16*B17</f>
        <v>4</v>
      </c>
      <c r="C39" s="843"/>
      <c r="D39" s="166">
        <f t="shared" si="0"/>
        <v>0</v>
      </c>
    </row>
    <row r="40" spans="1:4">
      <c r="A40" s="184" t="s">
        <v>206</v>
      </c>
      <c r="B40" s="82">
        <f>B17*B16</f>
        <v>4</v>
      </c>
      <c r="C40" s="843"/>
      <c r="D40" s="166">
        <f t="shared" si="0"/>
        <v>0</v>
      </c>
    </row>
    <row r="41" spans="1:4">
      <c r="A41" s="184" t="s">
        <v>207</v>
      </c>
      <c r="B41" s="82">
        <f>B17</f>
        <v>1</v>
      </c>
      <c r="C41" s="843"/>
      <c r="D41" s="166">
        <f t="shared" si="0"/>
        <v>0</v>
      </c>
    </row>
    <row r="42" spans="1:4">
      <c r="A42" s="83" t="s">
        <v>208</v>
      </c>
      <c r="B42" s="82">
        <f>(B4+0.2)*B16*B17+(B3*2+B4*2)*(B6+B7)</f>
        <v>4.8</v>
      </c>
      <c r="C42" s="843"/>
      <c r="D42" s="166">
        <f t="shared" si="0"/>
        <v>0</v>
      </c>
    </row>
    <row r="43" spans="1:4">
      <c r="A43" s="184" t="s">
        <v>209</v>
      </c>
      <c r="B43" s="82">
        <f>1*B17</f>
        <v>1</v>
      </c>
      <c r="C43" s="843"/>
      <c r="D43" s="166">
        <f t="shared" si="0"/>
        <v>0</v>
      </c>
    </row>
    <row r="44" spans="1:4">
      <c r="A44" s="133" t="s">
        <v>163</v>
      </c>
      <c r="B44" s="74">
        <f>B9</f>
        <v>2</v>
      </c>
      <c r="C44" s="843"/>
      <c r="D44" s="166">
        <f>B44*C44</f>
        <v>0</v>
      </c>
    </row>
    <row r="45" spans="1:4">
      <c r="A45" s="133" t="s">
        <v>172</v>
      </c>
      <c r="B45" s="75">
        <f>B17</f>
        <v>1</v>
      </c>
      <c r="C45" s="915"/>
      <c r="D45" s="166">
        <f>B45*C45</f>
        <v>0</v>
      </c>
    </row>
    <row r="46" spans="1:4" ht="12" thickBot="1">
      <c r="A46" s="30" t="s">
        <v>173</v>
      </c>
      <c r="B46" s="167">
        <f>B10</f>
        <v>3</v>
      </c>
      <c r="C46" s="916"/>
      <c r="D46" s="166">
        <f>B46*C46</f>
        <v>0</v>
      </c>
    </row>
    <row r="47" spans="1:4" ht="12" thickBot="1">
      <c r="A47" s="1129"/>
      <c r="B47" s="1130"/>
      <c r="C47" s="1130"/>
      <c r="D47" s="1131"/>
    </row>
    <row r="48" spans="1:4" ht="12.75">
      <c r="A48" s="1126" t="s">
        <v>183</v>
      </c>
      <c r="B48" s="1127"/>
      <c r="C48" s="1127"/>
      <c r="D48" s="1128"/>
    </row>
    <row r="49" spans="1:4">
      <c r="A49" s="184" t="s">
        <v>210</v>
      </c>
      <c r="B49" s="82">
        <f>2*B7</f>
        <v>0</v>
      </c>
      <c r="C49" s="843"/>
      <c r="D49" s="166">
        <f t="shared" ref="D49:D60" si="1">B49*C49</f>
        <v>0</v>
      </c>
    </row>
    <row r="50" spans="1:4">
      <c r="A50" s="184" t="s">
        <v>211</v>
      </c>
      <c r="B50" s="82">
        <f>IF(B13=1,INT((B3-0.1)/0.6+2)*B17+2*B7+INT((B3-0.1)/0.6+2)*B6,0)</f>
        <v>0</v>
      </c>
      <c r="C50" s="843"/>
      <c r="D50" s="166">
        <f t="shared" si="1"/>
        <v>0</v>
      </c>
    </row>
    <row r="51" spans="1:4">
      <c r="A51" s="184" t="s">
        <v>212</v>
      </c>
      <c r="B51" s="82">
        <f>IF(B13=1,INT((B3-0.1)/0.6+2)*(B6+B7),0)</f>
        <v>0</v>
      </c>
      <c r="C51" s="843"/>
      <c r="D51" s="166">
        <f t="shared" si="1"/>
        <v>0</v>
      </c>
    </row>
    <row r="52" spans="1:4">
      <c r="A52" s="184" t="s">
        <v>213</v>
      </c>
      <c r="B52" s="82">
        <f>IF(B14=1,2*B7,0)</f>
        <v>0</v>
      </c>
      <c r="C52" s="843"/>
      <c r="D52" s="166">
        <f t="shared" si="1"/>
        <v>0</v>
      </c>
    </row>
    <row r="53" spans="1:4">
      <c r="A53" s="184" t="s">
        <v>214</v>
      </c>
      <c r="B53" s="82">
        <f>(IF(B14=1,INT((B3-0.1)/0.6+2),0))*B17</f>
        <v>0</v>
      </c>
      <c r="C53" s="843"/>
      <c r="D53" s="166">
        <f t="shared" si="1"/>
        <v>0</v>
      </c>
    </row>
    <row r="54" spans="1:4">
      <c r="A54" s="184" t="s">
        <v>215</v>
      </c>
      <c r="B54" s="82">
        <f>(IF(B14=1,INT((B3-0.1)/0.6+2),0))*B6</f>
        <v>0</v>
      </c>
      <c r="C54" s="843"/>
      <c r="D54" s="166">
        <f t="shared" si="1"/>
        <v>0</v>
      </c>
    </row>
    <row r="55" spans="1:4">
      <c r="A55" s="184" t="s">
        <v>216</v>
      </c>
      <c r="B55" s="82">
        <f>(IF(B14=1,0,INT((B3-0.1)/0.6+2)))*B17</f>
        <v>3</v>
      </c>
      <c r="C55" s="843"/>
      <c r="D55" s="166">
        <f t="shared" si="1"/>
        <v>0</v>
      </c>
    </row>
    <row r="56" spans="1:4">
      <c r="A56" s="184" t="s">
        <v>217</v>
      </c>
      <c r="B56" s="82">
        <f>((IF(B14=1,0,INT((B3-0.1)/0.6+2))))*B6</f>
        <v>0</v>
      </c>
      <c r="C56" s="843"/>
      <c r="D56" s="166">
        <f t="shared" si="1"/>
        <v>0</v>
      </c>
    </row>
    <row r="57" spans="1:4">
      <c r="A57" s="184" t="s">
        <v>218</v>
      </c>
      <c r="B57" s="165">
        <f>IF(B12&lt;&gt;1,B49,0)</f>
        <v>0</v>
      </c>
      <c r="C57" s="843"/>
      <c r="D57" s="166">
        <f t="shared" si="1"/>
        <v>0</v>
      </c>
    </row>
    <row r="58" spans="1:4">
      <c r="A58" s="184" t="s">
        <v>219</v>
      </c>
      <c r="B58" s="82">
        <f>B57</f>
        <v>0</v>
      </c>
      <c r="C58" s="843"/>
      <c r="D58" s="166">
        <f t="shared" si="1"/>
        <v>0</v>
      </c>
    </row>
    <row r="59" spans="1:4">
      <c r="A59" s="184" t="s">
        <v>220</v>
      </c>
      <c r="B59" s="165">
        <f>IF(B13=1,B55+B56,0)</f>
        <v>0</v>
      </c>
      <c r="C59" s="846"/>
      <c r="D59" s="166">
        <f t="shared" si="1"/>
        <v>0</v>
      </c>
    </row>
    <row r="60" spans="1:4">
      <c r="A60" s="184" t="s">
        <v>221</v>
      </c>
      <c r="B60" s="82">
        <f>B49</f>
        <v>0</v>
      </c>
      <c r="C60" s="843"/>
      <c r="D60" s="166">
        <f t="shared" si="1"/>
        <v>0</v>
      </c>
    </row>
    <row r="61" spans="1:4" ht="12" thickBot="1">
      <c r="A61" s="1129"/>
      <c r="B61" s="1130"/>
      <c r="C61" s="1130"/>
      <c r="D61" s="1131"/>
    </row>
    <row r="62" spans="1:4" ht="12.75">
      <c r="A62" s="1132" t="s">
        <v>222</v>
      </c>
      <c r="B62" s="1133"/>
      <c r="C62" s="1133"/>
      <c r="D62" s="1134"/>
    </row>
    <row r="63" spans="1:4">
      <c r="A63" s="184" t="s">
        <v>223</v>
      </c>
      <c r="B63" s="82">
        <v>1</v>
      </c>
      <c r="C63" s="843"/>
      <c r="D63" s="166">
        <f>B63*C63</f>
        <v>0</v>
      </c>
    </row>
    <row r="64" spans="1:4" ht="12" thickBot="1">
      <c r="A64" s="188" t="s">
        <v>224</v>
      </c>
      <c r="B64" s="189">
        <v>1</v>
      </c>
      <c r="C64" s="918"/>
      <c r="D64" s="70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981" t="s">
        <v>225</v>
      </c>
      <c r="B1" s="982"/>
      <c r="C1" s="982"/>
      <c r="D1" s="1004"/>
    </row>
    <row r="2" spans="1:11" ht="15" thickBot="1">
      <c r="A2" s="1005" t="s">
        <v>3</v>
      </c>
      <c r="B2" s="1006"/>
      <c r="C2" s="1006"/>
      <c r="D2" s="1007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18" t="s">
        <v>30</v>
      </c>
      <c r="D3" s="1118"/>
      <c r="F3" s="990"/>
      <c r="G3" s="991"/>
      <c r="H3" s="991"/>
      <c r="I3" s="991"/>
      <c r="J3" s="991"/>
      <c r="K3" s="992"/>
    </row>
    <row r="4" spans="1:11" ht="12" thickBot="1">
      <c r="A4" s="194" t="s">
        <v>179</v>
      </c>
      <c r="B4" s="939">
        <v>1</v>
      </c>
      <c r="C4" s="1144" t="s">
        <v>30</v>
      </c>
      <c r="D4" s="1144"/>
    </row>
    <row r="5" spans="1:11">
      <c r="A5" s="172" t="s">
        <v>157</v>
      </c>
      <c r="B5" s="920">
        <v>1</v>
      </c>
      <c r="C5" s="1146" t="s">
        <v>30</v>
      </c>
      <c r="D5" s="1146"/>
    </row>
    <row r="6" spans="1:11">
      <c r="A6" s="152" t="s">
        <v>144</v>
      </c>
      <c r="B6" s="911">
        <v>2</v>
      </c>
      <c r="C6" s="1135" t="s">
        <v>30</v>
      </c>
      <c r="D6" s="1135"/>
      <c r="E6" s="192"/>
      <c r="H6" s="71"/>
      <c r="I6" s="71"/>
      <c r="J6" s="71"/>
    </row>
    <row r="7" spans="1:11" ht="12" thickBot="1">
      <c r="A7" s="139" t="s">
        <v>147</v>
      </c>
      <c r="B7" s="912">
        <v>3</v>
      </c>
      <c r="C7" s="1122" t="s">
        <v>30</v>
      </c>
      <c r="D7" s="1122"/>
      <c r="E7" s="193"/>
      <c r="H7" s="71"/>
      <c r="I7" s="71"/>
      <c r="J7" s="71"/>
    </row>
    <row r="8" spans="1:11" ht="12" thickBot="1">
      <c r="A8" s="190" t="s">
        <v>53</v>
      </c>
      <c r="B8" s="940">
        <v>1</v>
      </c>
      <c r="C8" s="1145" t="s">
        <v>30</v>
      </c>
      <c r="D8" s="1145"/>
    </row>
    <row r="9" spans="1:11" ht="12" thickBot="1">
      <c r="A9" s="1136"/>
      <c r="B9" s="1137"/>
      <c r="C9" s="1137"/>
      <c r="D9" s="1138"/>
    </row>
    <row r="10" spans="1:11" ht="12" thickBot="1">
      <c r="A10" s="182" t="s">
        <v>187</v>
      </c>
      <c r="B10" s="937">
        <f>CEILING((B3-0.1)/0.4,1)+1</f>
        <v>4</v>
      </c>
      <c r="C10" s="1139" t="s">
        <v>29</v>
      </c>
      <c r="D10" s="1140"/>
    </row>
    <row r="11" spans="1:11" ht="12" thickBot="1">
      <c r="A11" s="1143"/>
      <c r="B11" s="1143"/>
      <c r="C11" s="1143"/>
      <c r="D11" s="1143"/>
    </row>
    <row r="12" spans="1:11" ht="12.75">
      <c r="A12" s="185" t="s">
        <v>7</v>
      </c>
      <c r="B12" s="186" t="s">
        <v>0</v>
      </c>
      <c r="C12" s="58" t="s">
        <v>4</v>
      </c>
      <c r="D12" s="187" t="s">
        <v>8</v>
      </c>
    </row>
    <row r="13" spans="1:11">
      <c r="A13" s="52" t="s">
        <v>189</v>
      </c>
      <c r="B13" s="176">
        <f>B3*B8</f>
        <v>1</v>
      </c>
      <c r="C13" s="846">
        <v>9</v>
      </c>
      <c r="D13" s="177">
        <f t="shared" ref="D13:D33" si="0">B13*C13</f>
        <v>9</v>
      </c>
    </row>
    <row r="14" spans="1:11">
      <c r="A14" s="184" t="s">
        <v>190</v>
      </c>
      <c r="B14" s="81">
        <f>B3*B8</f>
        <v>1</v>
      </c>
      <c r="C14" s="846"/>
      <c r="D14" s="177">
        <f t="shared" si="0"/>
        <v>0</v>
      </c>
    </row>
    <row r="15" spans="1:11">
      <c r="A15" s="184" t="s">
        <v>192</v>
      </c>
      <c r="B15" s="81">
        <f>B3*B8</f>
        <v>1</v>
      </c>
      <c r="C15" s="846"/>
      <c r="D15" s="177">
        <f t="shared" si="0"/>
        <v>0</v>
      </c>
    </row>
    <row r="16" spans="1:11">
      <c r="A16" s="184" t="s">
        <v>226</v>
      </c>
      <c r="B16" s="81">
        <f>B3*B8</f>
        <v>1</v>
      </c>
      <c r="C16" s="846"/>
      <c r="D16" s="177">
        <f t="shared" si="0"/>
        <v>0</v>
      </c>
    </row>
    <row r="17" spans="1:4">
      <c r="A17" s="184" t="s">
        <v>193</v>
      </c>
      <c r="B17" s="82">
        <f>B3*B8*2</f>
        <v>2</v>
      </c>
      <c r="C17" s="843"/>
      <c r="D17" s="177">
        <f t="shared" si="0"/>
        <v>0</v>
      </c>
    </row>
    <row r="18" spans="1:4">
      <c r="A18" s="184" t="s">
        <v>194</v>
      </c>
      <c r="B18" s="82">
        <f>B3*B8</f>
        <v>1</v>
      </c>
      <c r="C18" s="843"/>
      <c r="D18" s="177">
        <f t="shared" si="0"/>
        <v>0</v>
      </c>
    </row>
    <row r="19" spans="1:4">
      <c r="A19" s="184" t="s">
        <v>195</v>
      </c>
      <c r="B19" s="82">
        <f>(B10-1)*B8</f>
        <v>3</v>
      </c>
      <c r="C19" s="843"/>
      <c r="D19" s="177">
        <f t="shared" si="0"/>
        <v>0</v>
      </c>
    </row>
    <row r="20" spans="1:4">
      <c r="A20" s="162" t="s">
        <v>167</v>
      </c>
      <c r="B20" s="82">
        <f>B8-B5</f>
        <v>0</v>
      </c>
      <c r="C20" s="843"/>
      <c r="D20" s="177">
        <f t="shared" si="0"/>
        <v>0</v>
      </c>
    </row>
    <row r="21" spans="1:4">
      <c r="A21" s="162" t="s">
        <v>168</v>
      </c>
      <c r="B21" s="82">
        <f>B5</f>
        <v>1</v>
      </c>
      <c r="C21" s="843"/>
      <c r="D21" s="177">
        <f t="shared" si="0"/>
        <v>0</v>
      </c>
    </row>
    <row r="22" spans="1:4">
      <c r="A22" s="184" t="s">
        <v>196</v>
      </c>
      <c r="B22" s="82">
        <f>(IF(B4&gt;2,B10,0))*B8</f>
        <v>0</v>
      </c>
      <c r="C22" s="843"/>
      <c r="D22" s="177">
        <f t="shared" si="0"/>
        <v>0</v>
      </c>
    </row>
    <row r="23" spans="1:4">
      <c r="A23" s="184" t="s">
        <v>197</v>
      </c>
      <c r="B23" s="82">
        <f>(IF(B4&lt;=2,B10,0))*B8</f>
        <v>4</v>
      </c>
      <c r="C23" s="843"/>
      <c r="D23" s="177">
        <f t="shared" si="0"/>
        <v>0</v>
      </c>
    </row>
    <row r="24" spans="1:4">
      <c r="A24" s="184" t="s">
        <v>198</v>
      </c>
      <c r="B24" s="82">
        <f>B8*2+(B8-B5)*2</f>
        <v>2</v>
      </c>
      <c r="C24" s="843"/>
      <c r="D24" s="177">
        <f t="shared" si="0"/>
        <v>0</v>
      </c>
    </row>
    <row r="25" spans="1:4">
      <c r="A25" s="184" t="s">
        <v>199</v>
      </c>
      <c r="B25" s="82">
        <f>2*B8</f>
        <v>2</v>
      </c>
      <c r="C25" s="843"/>
      <c r="D25" s="177">
        <f t="shared" si="0"/>
        <v>0</v>
      </c>
    </row>
    <row r="26" spans="1:4">
      <c r="A26" s="184" t="s">
        <v>201</v>
      </c>
      <c r="B26" s="82">
        <f>B8*2</f>
        <v>2</v>
      </c>
      <c r="C26" s="843"/>
      <c r="D26" s="177">
        <f t="shared" si="0"/>
        <v>0</v>
      </c>
    </row>
    <row r="27" spans="1:4">
      <c r="A27" s="184" t="s">
        <v>227</v>
      </c>
      <c r="B27" s="82">
        <f>2*B8</f>
        <v>2</v>
      </c>
      <c r="C27" s="843"/>
      <c r="D27" s="177">
        <f t="shared" si="0"/>
        <v>0</v>
      </c>
    </row>
    <row r="28" spans="1:4">
      <c r="A28" s="184" t="s">
        <v>205</v>
      </c>
      <c r="B28" s="82">
        <f>(4*3+B10*3)*B8</f>
        <v>24</v>
      </c>
      <c r="C28" s="843"/>
      <c r="D28" s="177">
        <f t="shared" si="0"/>
        <v>0</v>
      </c>
    </row>
    <row r="29" spans="1:4">
      <c r="A29" s="184" t="s">
        <v>228</v>
      </c>
      <c r="B29" s="82">
        <f>2*B8</f>
        <v>2</v>
      </c>
      <c r="C29" s="843"/>
      <c r="D29" s="177">
        <f t="shared" si="0"/>
        <v>0</v>
      </c>
    </row>
    <row r="30" spans="1:4">
      <c r="A30" s="184" t="s">
        <v>206</v>
      </c>
      <c r="B30" s="82">
        <f>B10*B8</f>
        <v>4</v>
      </c>
      <c r="C30" s="843"/>
      <c r="D30" s="177">
        <f t="shared" si="0"/>
        <v>0</v>
      </c>
    </row>
    <row r="31" spans="1:4">
      <c r="A31" s="184" t="s">
        <v>207</v>
      </c>
      <c r="B31" s="82">
        <f>B8*2</f>
        <v>2</v>
      </c>
      <c r="C31" s="843"/>
      <c r="D31" s="177">
        <f t="shared" si="0"/>
        <v>0</v>
      </c>
    </row>
    <row r="32" spans="1:4">
      <c r="A32" s="83" t="s">
        <v>208</v>
      </c>
      <c r="B32" s="82">
        <f>((B4*2+0.4)*2+(B4+0.4)*2)*B8</f>
        <v>7.6</v>
      </c>
      <c r="C32" s="843"/>
      <c r="D32" s="177">
        <f t="shared" si="0"/>
        <v>0</v>
      </c>
    </row>
    <row r="33" spans="1:4">
      <c r="A33" s="184" t="s">
        <v>209</v>
      </c>
      <c r="B33" s="82">
        <f>B8</f>
        <v>1</v>
      </c>
      <c r="C33" s="843"/>
      <c r="D33" s="177">
        <f t="shared" si="0"/>
        <v>0</v>
      </c>
    </row>
    <row r="34" spans="1:4">
      <c r="A34" s="133" t="s">
        <v>163</v>
      </c>
      <c r="B34" s="74">
        <f>B6</f>
        <v>2</v>
      </c>
      <c r="C34" s="843"/>
      <c r="D34" s="178">
        <f>B34*C34</f>
        <v>0</v>
      </c>
    </row>
    <row r="35" spans="1:4">
      <c r="A35" s="133" t="s">
        <v>172</v>
      </c>
      <c r="B35" s="75">
        <f>B8</f>
        <v>1</v>
      </c>
      <c r="C35" s="915"/>
      <c r="D35" s="178">
        <f>B35*C35</f>
        <v>0</v>
      </c>
    </row>
    <row r="36" spans="1:4" ht="12" thickBot="1">
      <c r="A36" s="30" t="s">
        <v>173</v>
      </c>
      <c r="B36" s="179">
        <f>B7</f>
        <v>3</v>
      </c>
      <c r="C36" s="916"/>
      <c r="D36" s="70">
        <f>B36*C36</f>
        <v>0</v>
      </c>
    </row>
    <row r="37" spans="1:4" ht="12" thickBot="1">
      <c r="A37" s="1129"/>
      <c r="B37" s="1130"/>
      <c r="C37" s="1130"/>
      <c r="D37" s="1131"/>
    </row>
    <row r="38" spans="1:4" ht="12.75">
      <c r="A38" s="1126" t="s">
        <v>183</v>
      </c>
      <c r="B38" s="1127"/>
      <c r="C38" s="1127"/>
      <c r="D38" s="1128"/>
    </row>
    <row r="39" spans="1:4">
      <c r="A39" s="184" t="s">
        <v>216</v>
      </c>
      <c r="B39" s="82">
        <f>B10*B8</f>
        <v>4</v>
      </c>
      <c r="C39" s="843"/>
      <c r="D39" s="178">
        <f>B39*C39</f>
        <v>0</v>
      </c>
    </row>
    <row r="40" spans="1:4" ht="12" thickBot="1">
      <c r="A40" s="188" t="s">
        <v>217</v>
      </c>
      <c r="B40" s="189">
        <f>B39</f>
        <v>4</v>
      </c>
      <c r="C40" s="918"/>
      <c r="D40" s="70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981" t="s">
        <v>345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241" t="s">
        <v>178</v>
      </c>
      <c r="B3" s="838">
        <v>2</v>
      </c>
      <c r="C3" s="1009" t="s">
        <v>30</v>
      </c>
      <c r="D3" s="984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51" t="s">
        <v>30</v>
      </c>
      <c r="D5" s="1152"/>
    </row>
    <row r="6" spans="1:10">
      <c r="A6" s="180" t="s">
        <v>346</v>
      </c>
      <c r="B6" s="934">
        <v>1</v>
      </c>
      <c r="C6" s="1153" t="s">
        <v>30</v>
      </c>
      <c r="D6" s="1154"/>
      <c r="H6" s="71"/>
    </row>
    <row r="7" spans="1:10" ht="12" thickBot="1">
      <c r="A7" s="244" t="s">
        <v>347</v>
      </c>
      <c r="B7" s="943">
        <v>1</v>
      </c>
      <c r="C7" s="1155" t="s">
        <v>30</v>
      </c>
      <c r="D7" s="1156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2" t="s">
        <v>30</v>
      </c>
      <c r="D9" s="1122"/>
      <c r="E9" s="193"/>
      <c r="H9" s="71"/>
      <c r="I9" s="71"/>
      <c r="J9" s="71"/>
    </row>
    <row r="10" spans="1:10" ht="12" thickBot="1">
      <c r="A10" s="1123" t="s">
        <v>183</v>
      </c>
      <c r="B10" s="1123"/>
      <c r="C10" s="1123"/>
      <c r="D10" s="1123"/>
      <c r="H10" s="71"/>
    </row>
    <row r="11" spans="1:10">
      <c r="A11" s="180" t="s">
        <v>316</v>
      </c>
      <c r="B11" s="934">
        <v>0</v>
      </c>
      <c r="C11" s="1124" t="s">
        <v>33</v>
      </c>
      <c r="D11" s="1125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49" t="s">
        <v>33</v>
      </c>
      <c r="D15" s="1150"/>
      <c r="F15" s="71"/>
      <c r="G15" s="71"/>
      <c r="H15" s="71"/>
    </row>
    <row r="16" spans="1:10" ht="12" thickBot="1">
      <c r="A16" s="1136"/>
      <c r="B16" s="1137"/>
      <c r="C16" s="1137"/>
      <c r="D16" s="1138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9" t="s">
        <v>322</v>
      </c>
      <c r="D17" s="1140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9" t="s">
        <v>29</v>
      </c>
      <c r="D18" s="1140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41" t="s">
        <v>29</v>
      </c>
      <c r="D19" s="1142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</f>
        <v>3.9940000000000002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(B3-0.003)*B19*2</f>
        <v>7.9880000000000004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2*B19</f>
        <v>4</v>
      </c>
      <c r="C30" s="843"/>
      <c r="D30" s="235">
        <f t="shared" si="0"/>
        <v>0</v>
      </c>
    </row>
    <row r="31" spans="1:8">
      <c r="A31" s="251" t="s">
        <v>332</v>
      </c>
      <c r="B31" s="82">
        <f>B18*B19</f>
        <v>12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(IF(B4&gt;2,B18+4,B18+3))*B19+4*B7</f>
        <v>22</v>
      </c>
      <c r="C35" s="843"/>
      <c r="D35" s="235">
        <f t="shared" si="0"/>
        <v>0</v>
      </c>
      <c r="E35" t="s">
        <v>351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250"/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250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(B4+0.2)*B19*B18+($B$3+2*$B$4+0.3)*$B$7</f>
        <v>32.700000000000003</v>
      </c>
      <c r="C43" s="843"/>
      <c r="D43" s="235">
        <f>B43*C43</f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133" t="s">
        <v>163</v>
      </c>
      <c r="B45" s="82">
        <f>B8</f>
        <v>2</v>
      </c>
      <c r="C45" s="843"/>
      <c r="D45" s="235">
        <f>B45*C45</f>
        <v>0</v>
      </c>
    </row>
    <row r="46" spans="1:5" ht="11.25" customHeight="1" thickBot="1">
      <c r="A46" s="30" t="s">
        <v>173</v>
      </c>
      <c r="B46" s="82">
        <f>B9</f>
        <v>3</v>
      </c>
      <c r="C46" s="843"/>
      <c r="D46" s="235">
        <f>B46*C46</f>
        <v>0</v>
      </c>
    </row>
    <row r="47" spans="1:5" ht="12" thickBot="1">
      <c r="A47" s="1129"/>
      <c r="B47" s="1130"/>
      <c r="C47" s="1130"/>
      <c r="D47" s="1131"/>
    </row>
    <row r="48" spans="1:5" ht="12.75">
      <c r="A48" s="1126" t="s">
        <v>183</v>
      </c>
      <c r="B48" s="1127"/>
      <c r="C48" s="1127"/>
      <c r="D48" s="1128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3" t="s">
        <v>29</v>
      </c>
      <c r="G62" s="1113"/>
      <c r="H62" s="1113"/>
    </row>
    <row r="63" spans="1:8">
      <c r="F63" s="1147" t="s">
        <v>341</v>
      </c>
      <c r="G63" s="1148"/>
      <c r="H63" s="1089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981" t="s">
        <v>353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241" t="s">
        <v>178</v>
      </c>
      <c r="B3" s="838">
        <v>2</v>
      </c>
      <c r="C3" s="1009" t="s">
        <v>30</v>
      </c>
      <c r="D3" s="984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51" t="s">
        <v>30</v>
      </c>
      <c r="D5" s="1152"/>
    </row>
    <row r="6" spans="1:10">
      <c r="A6" s="180" t="s">
        <v>354</v>
      </c>
      <c r="B6" s="934">
        <v>1</v>
      </c>
      <c r="C6" s="1153" t="s">
        <v>30</v>
      </c>
      <c r="D6" s="1154"/>
      <c r="H6" s="71"/>
    </row>
    <row r="7" spans="1:10" ht="12" thickBot="1">
      <c r="A7" s="244" t="s">
        <v>355</v>
      </c>
      <c r="B7" s="943">
        <v>1</v>
      </c>
      <c r="C7" s="1155" t="s">
        <v>30</v>
      </c>
      <c r="D7" s="1156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2" t="s">
        <v>30</v>
      </c>
      <c r="D9" s="1122"/>
      <c r="E9" s="193"/>
      <c r="H9" s="71"/>
      <c r="I9" s="71"/>
      <c r="J9" s="71"/>
    </row>
    <row r="10" spans="1:10" ht="12" thickBot="1">
      <c r="A10" s="1123" t="s">
        <v>183</v>
      </c>
      <c r="B10" s="1123"/>
      <c r="C10" s="1123"/>
      <c r="D10" s="1123"/>
      <c r="H10" s="71"/>
    </row>
    <row r="11" spans="1:10">
      <c r="A11" s="180" t="s">
        <v>316</v>
      </c>
      <c r="B11" s="934">
        <v>0</v>
      </c>
      <c r="C11" s="1124" t="s">
        <v>33</v>
      </c>
      <c r="D11" s="1125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49" t="s">
        <v>33</v>
      </c>
      <c r="D15" s="1150"/>
      <c r="F15" s="71"/>
      <c r="G15" s="71"/>
      <c r="H15" s="71"/>
    </row>
    <row r="16" spans="1:10" ht="12" thickBot="1">
      <c r="A16" s="1136"/>
      <c r="B16" s="1137"/>
      <c r="C16" s="1137"/>
      <c r="D16" s="1138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9" t="s">
        <v>322</v>
      </c>
      <c r="D17" s="1140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9" t="s">
        <v>29</v>
      </c>
      <c r="D18" s="1140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41" t="s">
        <v>29</v>
      </c>
      <c r="D19" s="1142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(B3-0.003)*B19*2</f>
        <v>7.9880000000000004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(B3-0.003)*B19*3</f>
        <v>11.982000000000001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4*B19</f>
        <v>8</v>
      </c>
      <c r="C30" s="843"/>
      <c r="D30" s="235">
        <f t="shared" si="0"/>
        <v>0</v>
      </c>
    </row>
    <row r="31" spans="1:8">
      <c r="A31" s="251" t="s">
        <v>332</v>
      </c>
      <c r="B31" s="82">
        <f>B18*B19*2</f>
        <v>24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B18*4*B19+8*B7</f>
        <v>56</v>
      </c>
      <c r="C35" s="843"/>
      <c r="D35" s="235">
        <f t="shared" si="0"/>
        <v>0</v>
      </c>
      <c r="E35" t="s">
        <v>357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1157" t="s">
        <v>356</v>
      </c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1157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((B4*2+0.2)*(B18-2)+(B4+0.2)*3)*B19+($B$3+2*$B$4+0.3)*$B$7</f>
        <v>53.1</v>
      </c>
      <c r="C43" s="843"/>
      <c r="D43" s="235">
        <f t="shared" si="0"/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252" t="s">
        <v>163</v>
      </c>
      <c r="B45" s="82">
        <f>B8</f>
        <v>2</v>
      </c>
      <c r="C45" s="843"/>
      <c r="D45" s="235">
        <f t="shared" si="0"/>
        <v>0</v>
      </c>
    </row>
    <row r="46" spans="1:5" ht="11.25" customHeight="1" thickBot="1">
      <c r="A46" s="253" t="s">
        <v>173</v>
      </c>
      <c r="B46" s="82">
        <f>B9</f>
        <v>3</v>
      </c>
      <c r="C46" s="843"/>
      <c r="D46" s="235">
        <f t="shared" si="0"/>
        <v>0</v>
      </c>
    </row>
    <row r="47" spans="1:5" ht="12" thickBot="1">
      <c r="A47" s="1129"/>
      <c r="B47" s="1130"/>
      <c r="C47" s="1130"/>
      <c r="D47" s="1131"/>
    </row>
    <row r="48" spans="1:5" ht="12.75">
      <c r="A48" s="1126" t="s">
        <v>183</v>
      </c>
      <c r="B48" s="1127"/>
      <c r="C48" s="1127"/>
      <c r="D48" s="1128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3" t="s">
        <v>29</v>
      </c>
      <c r="G62" s="1113"/>
      <c r="H62" s="1113"/>
    </row>
    <row r="63" spans="1:8">
      <c r="F63" s="1147" t="s">
        <v>341</v>
      </c>
      <c r="G63" s="1148"/>
      <c r="H63" s="1089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09" t="s">
        <v>248</v>
      </c>
      <c r="B1" s="1097"/>
      <c r="C1" s="1097"/>
      <c r="D1" s="1097"/>
    </row>
    <row r="2" spans="1:4">
      <c r="A2" s="110" t="s">
        <v>10</v>
      </c>
      <c r="B2" s="838">
        <v>10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 ht="22.5">
      <c r="A4" s="200" t="s">
        <v>246</v>
      </c>
      <c r="B4" s="922">
        <v>0</v>
      </c>
      <c r="C4" s="1112" t="s">
        <v>30</v>
      </c>
      <c r="D4" s="977"/>
    </row>
    <row r="5" spans="1:4">
      <c r="A5" s="200" t="s">
        <v>247</v>
      </c>
      <c r="B5" s="922">
        <v>1</v>
      </c>
      <c r="C5" s="1093" t="s">
        <v>30</v>
      </c>
      <c r="D5" s="1094"/>
    </row>
    <row r="6" spans="1:4">
      <c r="A6" s="200" t="s">
        <v>250</v>
      </c>
      <c r="B6" s="922">
        <v>1</v>
      </c>
      <c r="C6" s="1093" t="s">
        <v>30</v>
      </c>
      <c r="D6" s="1094"/>
    </row>
    <row r="7" spans="1:4">
      <c r="A7" s="200" t="s">
        <v>249</v>
      </c>
      <c r="B7" s="922">
        <v>0</v>
      </c>
      <c r="C7" s="1093" t="s">
        <v>30</v>
      </c>
      <c r="D7" s="1094"/>
    </row>
    <row r="8" spans="1:4">
      <c r="A8" s="200" t="s">
        <v>251</v>
      </c>
      <c r="B8" s="922">
        <v>0</v>
      </c>
      <c r="C8" s="1093" t="s">
        <v>30</v>
      </c>
      <c r="D8" s="1094"/>
    </row>
    <row r="9" spans="1:4">
      <c r="A9" s="111" t="s">
        <v>123</v>
      </c>
      <c r="B9" s="840">
        <v>1</v>
      </c>
      <c r="C9" s="1011" t="s">
        <v>29</v>
      </c>
      <c r="D9" s="1012"/>
    </row>
    <row r="10" spans="1:4" ht="33.75" customHeight="1">
      <c r="A10" s="205" t="s">
        <v>257</v>
      </c>
      <c r="B10" s="841">
        <v>1</v>
      </c>
      <c r="C10" s="1158" t="s">
        <v>258</v>
      </c>
      <c r="D10" s="1094"/>
    </row>
    <row r="11" spans="1:4">
      <c r="A11" s="204" t="s">
        <v>254</v>
      </c>
      <c r="B11" s="840">
        <v>1</v>
      </c>
      <c r="C11" s="198" t="s">
        <v>255</v>
      </c>
      <c r="D11" s="197" t="s">
        <v>256</v>
      </c>
    </row>
    <row r="12" spans="1:4" ht="12" thickBot="1">
      <c r="A12" s="148" t="s">
        <v>143</v>
      </c>
      <c r="B12" s="925">
        <v>1</v>
      </c>
      <c r="C12" s="1116" t="s">
        <v>30</v>
      </c>
      <c r="D12" s="1117"/>
    </row>
    <row r="13" spans="1:4" ht="12" thickBot="1">
      <c r="A13" s="1113"/>
      <c r="B13" s="1113"/>
      <c r="C13" s="1113"/>
      <c r="D13" s="1113"/>
    </row>
    <row r="14" spans="1:4" ht="12.75">
      <c r="A14" s="98" t="s">
        <v>5</v>
      </c>
      <c r="B14" s="99" t="s">
        <v>0</v>
      </c>
      <c r="C14" s="119" t="s">
        <v>4</v>
      </c>
      <c r="D14" s="195" t="s">
        <v>8</v>
      </c>
    </row>
    <row r="15" spans="1:4" ht="15">
      <c r="A15" s="201" t="s">
        <v>280</v>
      </c>
      <c r="B15" s="207">
        <f>(B2-0.165)*B9</f>
        <v>9.8350000000000009</v>
      </c>
      <c r="C15" s="859">
        <v>9</v>
      </c>
      <c r="D15" s="196">
        <f t="shared" ref="D15:D36" si="0">C15*B15</f>
        <v>88.515000000000015</v>
      </c>
    </row>
    <row r="16" spans="1:4" ht="15">
      <c r="A16" s="201" t="s">
        <v>690</v>
      </c>
      <c r="B16" s="203">
        <f>ROUNDUP(B2*8*B4,0)+EVEN(B2*8*B5)</f>
        <v>80</v>
      </c>
      <c r="C16" s="859"/>
      <c r="D16" s="196">
        <f t="shared" si="0"/>
        <v>0</v>
      </c>
    </row>
    <row r="17" spans="1:4" ht="15">
      <c r="A17" s="201" t="s">
        <v>252</v>
      </c>
      <c r="B17" s="203">
        <f>B9</f>
        <v>1</v>
      </c>
      <c r="C17" s="859"/>
      <c r="D17" s="196">
        <f t="shared" si="0"/>
        <v>0</v>
      </c>
    </row>
    <row r="18" spans="1:4" ht="15">
      <c r="A18" s="201" t="s">
        <v>253</v>
      </c>
      <c r="B18" s="203">
        <f>B9</f>
        <v>1</v>
      </c>
      <c r="C18" s="859"/>
      <c r="D18" s="196">
        <f t="shared" si="0"/>
        <v>0</v>
      </c>
    </row>
    <row r="19" spans="1:4" ht="15">
      <c r="A19" s="201" t="s">
        <v>234</v>
      </c>
      <c r="B19" s="203">
        <f>ROUNDUP(B2/0.5,0)*B9</f>
        <v>20</v>
      </c>
      <c r="C19" s="859"/>
      <c r="D19" s="196">
        <f t="shared" si="0"/>
        <v>0</v>
      </c>
    </row>
    <row r="20" spans="1:4" ht="15">
      <c r="A20" s="201" t="s">
        <v>237</v>
      </c>
      <c r="B20" s="203">
        <f>(IF(B10=2,ROUNDUP(B2/0.5,0),0))*B9</f>
        <v>0</v>
      </c>
      <c r="C20" s="846"/>
      <c r="D20" s="196">
        <f t="shared" si="0"/>
        <v>0</v>
      </c>
    </row>
    <row r="21" spans="1:4" ht="15">
      <c r="A21" s="201" t="s">
        <v>238</v>
      </c>
      <c r="B21" s="203">
        <f>(IF(B10=3,ROUNDUP(B2/0.5,0),0))*B9</f>
        <v>0</v>
      </c>
      <c r="C21" s="846"/>
      <c r="D21" s="196">
        <f t="shared" si="0"/>
        <v>0</v>
      </c>
    </row>
    <row r="22" spans="1:4" ht="15">
      <c r="A22" s="201" t="s">
        <v>691</v>
      </c>
      <c r="B22" s="203">
        <f>IF(B4=0,B5,B4)</f>
        <v>1</v>
      </c>
      <c r="C22" s="859"/>
      <c r="D22" s="196">
        <f t="shared" si="0"/>
        <v>0</v>
      </c>
    </row>
    <row r="23" spans="1:4" ht="15">
      <c r="A23" s="201" t="s">
        <v>692</v>
      </c>
      <c r="B23" s="203">
        <f>IF(B5=0,0,B5)</f>
        <v>1</v>
      </c>
      <c r="C23" s="859"/>
      <c r="D23" s="738">
        <f t="shared" ref="D23" si="1">C23*B23</f>
        <v>0</v>
      </c>
    </row>
    <row r="24" spans="1:4" ht="15">
      <c r="A24" s="201" t="s">
        <v>693</v>
      </c>
      <c r="B24" s="203">
        <f>IF(B5=0,0,B5)</f>
        <v>1</v>
      </c>
      <c r="C24" s="859"/>
      <c r="D24" s="738"/>
    </row>
    <row r="25" spans="1:4" ht="15">
      <c r="A25" s="201" t="s">
        <v>694</v>
      </c>
      <c r="B25" s="203">
        <f>IF(B5=0,0,B5)</f>
        <v>1</v>
      </c>
      <c r="C25" s="859"/>
      <c r="D25" s="738"/>
    </row>
    <row r="26" spans="1:4" ht="15">
      <c r="A26" s="201" t="s">
        <v>235</v>
      </c>
      <c r="B26" s="203">
        <f>B4*2+4*B5</f>
        <v>4</v>
      </c>
      <c r="C26" s="859"/>
      <c r="D26" s="196">
        <f t="shared" si="0"/>
        <v>0</v>
      </c>
    </row>
    <row r="27" spans="1:4" ht="15">
      <c r="A27" s="201" t="s">
        <v>239</v>
      </c>
      <c r="B27" s="203">
        <f>B2*2+0.11*B9</f>
        <v>20.11</v>
      </c>
      <c r="C27" s="846"/>
      <c r="D27" s="196">
        <f t="shared" si="0"/>
        <v>0</v>
      </c>
    </row>
    <row r="28" spans="1:4" ht="15">
      <c r="A28" s="201" t="s">
        <v>236</v>
      </c>
      <c r="B28" s="203">
        <f>B4*2+B5*4</f>
        <v>4</v>
      </c>
      <c r="C28" s="860"/>
      <c r="D28" s="196">
        <f t="shared" si="0"/>
        <v>0</v>
      </c>
    </row>
    <row r="29" spans="1:4" ht="15">
      <c r="A29" s="201" t="s">
        <v>281</v>
      </c>
      <c r="B29" s="203">
        <f>B4+B5*2</f>
        <v>2</v>
      </c>
      <c r="C29" s="860"/>
      <c r="D29" s="196">
        <f t="shared" si="0"/>
        <v>0</v>
      </c>
    </row>
    <row r="30" spans="1:4" ht="15">
      <c r="A30" s="201" t="s">
        <v>282</v>
      </c>
      <c r="B30" s="203">
        <f>B4</f>
        <v>0</v>
      </c>
      <c r="C30" s="860"/>
      <c r="D30" s="196">
        <f t="shared" si="0"/>
        <v>0</v>
      </c>
    </row>
    <row r="31" spans="1:4" ht="15">
      <c r="A31" s="201" t="s">
        <v>240</v>
      </c>
      <c r="B31" s="203">
        <f>(IF(B11=1,B9,0))</f>
        <v>1</v>
      </c>
      <c r="C31" s="846"/>
      <c r="D31" s="196">
        <f t="shared" si="0"/>
        <v>0</v>
      </c>
    </row>
    <row r="32" spans="1:4">
      <c r="A32" s="201" t="s">
        <v>245</v>
      </c>
      <c r="B32" s="208">
        <f>B12</f>
        <v>1</v>
      </c>
      <c r="C32" s="846"/>
      <c r="D32" s="196">
        <f t="shared" si="0"/>
        <v>0</v>
      </c>
    </row>
    <row r="33" spans="1:4" ht="15">
      <c r="A33" s="202" t="s">
        <v>241</v>
      </c>
      <c r="B33" s="203"/>
      <c r="C33" s="846"/>
      <c r="D33" s="196">
        <f t="shared" si="0"/>
        <v>0</v>
      </c>
    </row>
    <row r="34" spans="1:4" ht="15">
      <c r="A34" s="201" t="s">
        <v>242</v>
      </c>
      <c r="B34" s="203">
        <f>B7</f>
        <v>0</v>
      </c>
      <c r="C34" s="846"/>
      <c r="D34" s="196">
        <f t="shared" si="0"/>
        <v>0</v>
      </c>
    </row>
    <row r="35" spans="1:4" ht="15">
      <c r="A35" s="201" t="s">
        <v>243</v>
      </c>
      <c r="B35" s="203">
        <f>B8</f>
        <v>0</v>
      </c>
      <c r="C35" s="846"/>
      <c r="D35" s="196">
        <f t="shared" si="0"/>
        <v>0</v>
      </c>
    </row>
    <row r="36" spans="1:4" ht="15">
      <c r="A36" s="201" t="s">
        <v>244</v>
      </c>
      <c r="B36" s="203">
        <f>B6</f>
        <v>1</v>
      </c>
      <c r="C36" s="846"/>
      <c r="D36" s="196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9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:D1"/>
    <mergeCell ref="C2:D2"/>
    <mergeCell ref="C3:D3"/>
    <mergeCell ref="C4:D4"/>
    <mergeCell ref="C9:D9"/>
    <mergeCell ref="A13:D13"/>
    <mergeCell ref="C5:D5"/>
    <mergeCell ref="C6:D6"/>
    <mergeCell ref="C7:D7"/>
    <mergeCell ref="C8:D8"/>
    <mergeCell ref="C12:D12"/>
    <mergeCell ref="C10:D1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09" t="s">
        <v>306</v>
      </c>
      <c r="B1" s="1097"/>
      <c r="C1" s="1097"/>
      <c r="D1" s="1097"/>
    </row>
    <row r="2" spans="1:4">
      <c r="A2" s="110" t="s">
        <v>10</v>
      </c>
      <c r="B2" s="838">
        <v>1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 ht="22.5">
      <c r="A4" s="200" t="s">
        <v>246</v>
      </c>
      <c r="B4" s="922">
        <v>0</v>
      </c>
      <c r="C4" s="1112" t="s">
        <v>30</v>
      </c>
      <c r="D4" s="977"/>
    </row>
    <row r="5" spans="1:4">
      <c r="A5" s="200" t="s">
        <v>247</v>
      </c>
      <c r="B5" s="922">
        <v>1</v>
      </c>
      <c r="C5" s="1093" t="s">
        <v>30</v>
      </c>
      <c r="D5" s="1094"/>
    </row>
    <row r="6" spans="1:4">
      <c r="A6" s="200" t="s">
        <v>250</v>
      </c>
      <c r="B6" s="922">
        <v>1</v>
      </c>
      <c r="C6" s="1093" t="s">
        <v>30</v>
      </c>
      <c r="D6" s="1094"/>
    </row>
    <row r="7" spans="1:4">
      <c r="A7" s="200" t="s">
        <v>249</v>
      </c>
      <c r="B7" s="922">
        <v>0</v>
      </c>
      <c r="C7" s="1093" t="s">
        <v>30</v>
      </c>
      <c r="D7" s="1094"/>
    </row>
    <row r="8" spans="1:4">
      <c r="A8" s="200" t="s">
        <v>251</v>
      </c>
      <c r="B8" s="922">
        <v>0</v>
      </c>
      <c r="C8" s="1093" t="s">
        <v>30</v>
      </c>
      <c r="D8" s="1094"/>
    </row>
    <row r="9" spans="1:4">
      <c r="A9" s="111" t="s">
        <v>123</v>
      </c>
      <c r="B9" s="840">
        <f>B4+B5</f>
        <v>1</v>
      </c>
      <c r="C9" s="1011" t="s">
        <v>29</v>
      </c>
      <c r="D9" s="1012"/>
    </row>
    <row r="10" spans="1:4" ht="33" customHeight="1">
      <c r="A10" s="205" t="s">
        <v>303</v>
      </c>
      <c r="B10" s="841">
        <v>1</v>
      </c>
      <c r="C10" s="1158" t="s">
        <v>304</v>
      </c>
      <c r="D10" s="1094"/>
    </row>
    <row r="11" spans="1:4" ht="35.25" customHeight="1">
      <c r="A11" s="205" t="s">
        <v>305</v>
      </c>
      <c r="B11" s="841">
        <v>3</v>
      </c>
      <c r="C11" s="1158" t="s">
        <v>307</v>
      </c>
      <c r="D11" s="1094"/>
    </row>
    <row r="12" spans="1:4">
      <c r="A12" s="205" t="s">
        <v>291</v>
      </c>
      <c r="B12" s="840">
        <v>1</v>
      </c>
      <c r="C12" s="223" t="s">
        <v>255</v>
      </c>
      <c r="D12" s="222" t="s">
        <v>256</v>
      </c>
    </row>
    <row r="13" spans="1:4">
      <c r="A13" s="204" t="s">
        <v>254</v>
      </c>
      <c r="B13" s="840">
        <v>2</v>
      </c>
      <c r="C13" s="223" t="s">
        <v>255</v>
      </c>
      <c r="D13" s="222" t="s">
        <v>256</v>
      </c>
    </row>
    <row r="14" spans="1:4" ht="22.5">
      <c r="A14" s="231" t="s">
        <v>302</v>
      </c>
      <c r="B14" s="840">
        <v>1</v>
      </c>
      <c r="C14" s="223"/>
      <c r="D14" s="222"/>
    </row>
    <row r="15" spans="1:4" ht="12" thickBot="1">
      <c r="A15" s="148" t="s">
        <v>143</v>
      </c>
      <c r="B15" s="925">
        <v>1</v>
      </c>
      <c r="C15" s="1116" t="s">
        <v>30</v>
      </c>
      <c r="D15" s="1117"/>
    </row>
    <row r="16" spans="1:4" ht="12" thickBot="1">
      <c r="A16" s="1113"/>
      <c r="B16" s="1113"/>
      <c r="C16" s="1113"/>
      <c r="D16" s="1113"/>
    </row>
    <row r="17" spans="1:4" ht="12.75">
      <c r="A17" s="98" t="s">
        <v>5</v>
      </c>
      <c r="B17" s="99" t="s">
        <v>0</v>
      </c>
      <c r="C17" s="119" t="s">
        <v>4</v>
      </c>
      <c r="D17" s="224" t="s">
        <v>8</v>
      </c>
    </row>
    <row r="18" spans="1:4" ht="15">
      <c r="A18" s="230" t="s">
        <v>293</v>
      </c>
      <c r="B18" s="228">
        <f>IF(B12=2,(B2-0.14)*B9,(B2-0.1)*B9)</f>
        <v>0.9</v>
      </c>
      <c r="C18" s="859">
        <v>9</v>
      </c>
      <c r="D18" s="221">
        <f t="shared" ref="D18:D40" si="0">C18*B18</f>
        <v>8.1</v>
      </c>
    </row>
    <row r="19" spans="1:4" ht="15">
      <c r="A19" s="230" t="s">
        <v>288</v>
      </c>
      <c r="B19" s="229">
        <f>ROUNDUP(B2*10*B4,0)+EVEN(B2*10*B5)</f>
        <v>10</v>
      </c>
      <c r="C19" s="859"/>
      <c r="D19" s="221">
        <f t="shared" si="0"/>
        <v>0</v>
      </c>
    </row>
    <row r="20" spans="1:4" ht="15">
      <c r="A20" s="230" t="s">
        <v>289</v>
      </c>
      <c r="B20" s="229">
        <f>IF($B$12=2,$B$9,0)</f>
        <v>0</v>
      </c>
      <c r="C20" s="859"/>
      <c r="D20" s="221">
        <f t="shared" si="0"/>
        <v>0</v>
      </c>
    </row>
    <row r="21" spans="1:4" ht="15">
      <c r="A21" s="230" t="s">
        <v>290</v>
      </c>
      <c r="B21" s="229">
        <f>B9</f>
        <v>1</v>
      </c>
      <c r="C21" s="859"/>
      <c r="D21" s="221">
        <f t="shared" si="0"/>
        <v>0</v>
      </c>
    </row>
    <row r="22" spans="1:4" ht="15">
      <c r="A22" s="230" t="s">
        <v>295</v>
      </c>
      <c r="B22" s="229">
        <f>(IF($B$10=1,ROUNDUP($B$2/0.5,0),0))*$B$9</f>
        <v>2</v>
      </c>
      <c r="C22" s="859"/>
      <c r="D22" s="221">
        <f t="shared" si="0"/>
        <v>0</v>
      </c>
    </row>
    <row r="23" spans="1:4" ht="15">
      <c r="A23" s="230" t="s">
        <v>296</v>
      </c>
      <c r="B23" s="229">
        <f>(IF($B$10=2,ROUNDUP($B$2/0.5,0),0))*$B$9</f>
        <v>0</v>
      </c>
      <c r="C23" s="859"/>
      <c r="D23" s="221">
        <f t="shared" si="0"/>
        <v>0</v>
      </c>
    </row>
    <row r="24" spans="1:4" ht="15">
      <c r="A24" s="230" t="s">
        <v>297</v>
      </c>
      <c r="B24" s="229">
        <f>(IF($B$10=3,ROUNDUP($B$2/0.5,0),0))*$B$9</f>
        <v>0</v>
      </c>
      <c r="C24" s="859"/>
      <c r="D24" s="221">
        <f t="shared" si="0"/>
        <v>0</v>
      </c>
    </row>
    <row r="25" spans="1:4" ht="15">
      <c r="A25" s="230" t="s">
        <v>298</v>
      </c>
      <c r="B25" s="229">
        <f>IF($B$10=1,0,((IF($B$11=2,ROUNDUP($B$2/0.5,0),0))*$B$9))</f>
        <v>0</v>
      </c>
      <c r="C25" s="846"/>
      <c r="D25" s="221">
        <f t="shared" si="0"/>
        <v>0</v>
      </c>
    </row>
    <row r="26" spans="1:4" ht="15">
      <c r="A26" s="230" t="s">
        <v>299</v>
      </c>
      <c r="B26" s="229">
        <f>IF($B$10=1,0,((IF($B$11=3,ROUNDUP($B$2/0.5,0),0))*$B$9))</f>
        <v>0</v>
      </c>
      <c r="C26" s="846"/>
      <c r="D26" s="221">
        <f t="shared" si="0"/>
        <v>0</v>
      </c>
    </row>
    <row r="27" spans="1:4" ht="15">
      <c r="A27" s="201" t="s">
        <v>235</v>
      </c>
      <c r="B27" s="203">
        <f>B4*2+4*B5</f>
        <v>4</v>
      </c>
      <c r="C27" s="859"/>
      <c r="D27" s="221">
        <f t="shared" si="0"/>
        <v>0</v>
      </c>
    </row>
    <row r="28" spans="1:4" ht="15">
      <c r="A28" s="230" t="s">
        <v>292</v>
      </c>
      <c r="B28" s="229">
        <f>B4+2*B5</f>
        <v>2</v>
      </c>
      <c r="C28" s="859"/>
      <c r="D28" s="221">
        <f t="shared" si="0"/>
        <v>0</v>
      </c>
    </row>
    <row r="29" spans="1:4" ht="15">
      <c r="A29" s="230" t="s">
        <v>291</v>
      </c>
      <c r="B29" s="229">
        <f>IF($B$12=2,0,$B$9)</f>
        <v>1</v>
      </c>
      <c r="C29" s="859"/>
      <c r="D29" s="221">
        <f t="shared" si="0"/>
        <v>0</v>
      </c>
    </row>
    <row r="30" spans="1:4" ht="15">
      <c r="A30" s="227" t="s">
        <v>239</v>
      </c>
      <c r="B30" s="229">
        <f>IF(B12=1,(($B$2-0.14)*2+0.21)*$B$9,IF(B12=2,(($B$2-0.1)*2+0.21)*$B$9,0))</f>
        <v>1.93</v>
      </c>
      <c r="C30" s="846"/>
      <c r="D30" s="221">
        <f t="shared" si="0"/>
        <v>0</v>
      </c>
    </row>
    <row r="31" spans="1:4" ht="15">
      <c r="A31" s="227" t="s">
        <v>301</v>
      </c>
      <c r="B31" s="229">
        <f>B5</f>
        <v>1</v>
      </c>
      <c r="C31" s="860"/>
      <c r="D31" s="221">
        <f t="shared" si="0"/>
        <v>0</v>
      </c>
    </row>
    <row r="32" spans="1:4" ht="15">
      <c r="A32" s="230" t="s">
        <v>313</v>
      </c>
      <c r="B32" s="229">
        <f>B9</f>
        <v>1</v>
      </c>
      <c r="C32" s="860"/>
      <c r="D32" s="221">
        <f t="shared" si="0"/>
        <v>0</v>
      </c>
    </row>
    <row r="33" spans="1:4" ht="15">
      <c r="A33" s="230" t="s">
        <v>294</v>
      </c>
      <c r="B33" s="229">
        <f>B14</f>
        <v>1</v>
      </c>
      <c r="C33" s="860"/>
      <c r="D33" s="221">
        <f t="shared" si="0"/>
        <v>0</v>
      </c>
    </row>
    <row r="34" spans="1:4" ht="15">
      <c r="A34" s="230" t="s">
        <v>300</v>
      </c>
      <c r="B34" s="229">
        <f>(IF(B13=1,B9,0))</f>
        <v>0</v>
      </c>
      <c r="C34" s="846"/>
      <c r="D34" s="221">
        <f t="shared" si="0"/>
        <v>0</v>
      </c>
    </row>
    <row r="35" spans="1:4" ht="15">
      <c r="A35" s="230" t="s">
        <v>309</v>
      </c>
      <c r="B35" s="229">
        <f>B7</f>
        <v>0</v>
      </c>
      <c r="C35" s="846"/>
      <c r="D35" s="221">
        <f t="shared" si="0"/>
        <v>0</v>
      </c>
    </row>
    <row r="36" spans="1:4" ht="15">
      <c r="A36" s="227" t="s">
        <v>310</v>
      </c>
      <c r="B36" s="229">
        <f>B15</f>
        <v>1</v>
      </c>
      <c r="C36" s="860"/>
      <c r="D36" s="221">
        <f t="shared" si="0"/>
        <v>0</v>
      </c>
    </row>
    <row r="37" spans="1:4" ht="15">
      <c r="A37" s="202" t="s">
        <v>241</v>
      </c>
      <c r="B37" s="203"/>
      <c r="C37" s="846"/>
      <c r="D37" s="221">
        <f t="shared" si="0"/>
        <v>0</v>
      </c>
    </row>
    <row r="38" spans="1:4" ht="15">
      <c r="A38" s="201" t="s">
        <v>311</v>
      </c>
      <c r="B38" s="203">
        <f>B7</f>
        <v>0</v>
      </c>
      <c r="C38" s="846"/>
      <c r="D38" s="221">
        <f t="shared" si="0"/>
        <v>0</v>
      </c>
    </row>
    <row r="39" spans="1:4" ht="15">
      <c r="A39" s="201" t="s">
        <v>308</v>
      </c>
      <c r="B39" s="203">
        <f>B8</f>
        <v>0</v>
      </c>
      <c r="C39" s="846"/>
      <c r="D39" s="221">
        <f t="shared" si="0"/>
        <v>0</v>
      </c>
    </row>
    <row r="40" spans="1:4" ht="15">
      <c r="A40" s="201" t="s">
        <v>312</v>
      </c>
      <c r="B40" s="203">
        <f>B6</f>
        <v>1</v>
      </c>
      <c r="C40" s="846"/>
      <c r="D40" s="221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9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09" t="s">
        <v>259</v>
      </c>
      <c r="B1" s="1097"/>
      <c r="C1" s="1097"/>
      <c r="D1" s="1097"/>
    </row>
    <row r="2" spans="1:4">
      <c r="A2" s="110" t="s">
        <v>10</v>
      </c>
      <c r="B2" s="210">
        <v>2</v>
      </c>
      <c r="C2" s="1009" t="s">
        <v>125</v>
      </c>
      <c r="D2" s="984"/>
    </row>
    <row r="3" spans="1:4" ht="12" thickBot="1">
      <c r="A3" s="112" t="s">
        <v>1</v>
      </c>
      <c r="B3" s="213">
        <v>1</v>
      </c>
      <c r="C3" s="1110" t="s">
        <v>30</v>
      </c>
      <c r="D3" s="1111"/>
    </row>
    <row r="4" spans="1:4">
      <c r="A4" s="111" t="s">
        <v>123</v>
      </c>
      <c r="B4" s="211">
        <v>3</v>
      </c>
      <c r="C4" s="1011" t="s">
        <v>30</v>
      </c>
      <c r="D4" s="1012"/>
    </row>
    <row r="5" spans="1:4" ht="26.25" customHeight="1">
      <c r="A5" s="205" t="s">
        <v>257</v>
      </c>
      <c r="B5" s="206">
        <v>1</v>
      </c>
      <c r="C5" s="1158" t="s">
        <v>260</v>
      </c>
      <c r="D5" s="1094"/>
    </row>
    <row r="6" spans="1:4">
      <c r="A6" s="205" t="s">
        <v>830</v>
      </c>
      <c r="B6" s="206">
        <v>1</v>
      </c>
      <c r="C6" s="215" t="s">
        <v>261</v>
      </c>
      <c r="D6" s="212" t="s">
        <v>262</v>
      </c>
    </row>
    <row r="7" spans="1:4">
      <c r="A7" s="205" t="s">
        <v>283</v>
      </c>
      <c r="B7" s="206">
        <v>1</v>
      </c>
      <c r="C7" s="220" t="s">
        <v>284</v>
      </c>
      <c r="D7" s="218" t="s">
        <v>285</v>
      </c>
    </row>
    <row r="8" spans="1:4">
      <c r="A8" s="205" t="s">
        <v>124</v>
      </c>
      <c r="B8" s="206">
        <v>0</v>
      </c>
      <c r="C8" s="219" t="s">
        <v>255</v>
      </c>
      <c r="D8" s="218" t="s">
        <v>287</v>
      </c>
    </row>
    <row r="9" spans="1:4">
      <c r="A9" s="204" t="s">
        <v>275</v>
      </c>
      <c r="B9" s="211">
        <v>3</v>
      </c>
      <c r="C9" s="1093" t="s">
        <v>30</v>
      </c>
      <c r="D9" s="1052"/>
    </row>
    <row r="10" spans="1:4">
      <c r="A10" s="204" t="s">
        <v>277</v>
      </c>
      <c r="B10" s="211">
        <v>2</v>
      </c>
      <c r="C10" s="1093" t="s">
        <v>30</v>
      </c>
      <c r="D10" s="1052"/>
    </row>
    <row r="11" spans="1:4">
      <c r="A11" s="216" t="s">
        <v>274</v>
      </c>
      <c r="B11" s="211">
        <v>1</v>
      </c>
      <c r="C11" s="1093" t="s">
        <v>30</v>
      </c>
      <c r="D11" s="1052"/>
    </row>
    <row r="12" spans="1:4" ht="12" thickBot="1">
      <c r="A12" s="1113"/>
      <c r="B12" s="1113"/>
      <c r="C12" s="1113"/>
      <c r="D12" s="1113"/>
    </row>
    <row r="13" spans="1:4" ht="12.75">
      <c r="A13" s="98" t="s">
        <v>5</v>
      </c>
      <c r="B13" s="99" t="s">
        <v>0</v>
      </c>
      <c r="C13" s="119" t="s">
        <v>4</v>
      </c>
      <c r="D13" s="214" t="s">
        <v>8</v>
      </c>
    </row>
    <row r="14" spans="1:4" ht="15" customHeight="1">
      <c r="A14" s="209" t="s">
        <v>263</v>
      </c>
      <c r="B14" s="203">
        <f>(B2-0.004)*B4</f>
        <v>5.9879999999999995</v>
      </c>
      <c r="C14" s="859"/>
      <c r="D14" s="209">
        <f t="shared" ref="D14:D35" si="0">C14*B14</f>
        <v>0</v>
      </c>
    </row>
    <row r="15" spans="1:4" ht="15">
      <c r="A15" s="232" t="s">
        <v>314</v>
      </c>
      <c r="B15" s="203">
        <f>B4*2</f>
        <v>6</v>
      </c>
      <c r="C15" s="859"/>
      <c r="D15" s="209">
        <f t="shared" si="0"/>
        <v>0</v>
      </c>
    </row>
    <row r="16" spans="1:4" ht="15">
      <c r="A16" s="209" t="s">
        <v>264</v>
      </c>
      <c r="B16" s="203">
        <f>ROUNDUP(B2/0.4,0)*B4</f>
        <v>15</v>
      </c>
      <c r="C16" s="859"/>
      <c r="D16" s="209">
        <f t="shared" si="0"/>
        <v>0</v>
      </c>
    </row>
    <row r="17" spans="1:4" ht="15">
      <c r="A17" s="209" t="s">
        <v>265</v>
      </c>
      <c r="B17" s="203">
        <f>B16</f>
        <v>15</v>
      </c>
      <c r="C17" s="859"/>
      <c r="D17" s="209">
        <f t="shared" si="0"/>
        <v>0</v>
      </c>
    </row>
    <row r="18" spans="1:4" ht="15">
      <c r="A18" s="209" t="s">
        <v>266</v>
      </c>
      <c r="B18" s="203">
        <f>(IF(B5=1,ROUNDUP((B2-0.03)/0.5,0),0))*B4</f>
        <v>12</v>
      </c>
      <c r="C18" s="859"/>
      <c r="D18" s="209">
        <f t="shared" si="0"/>
        <v>0</v>
      </c>
    </row>
    <row r="19" spans="1:4" ht="15">
      <c r="A19" s="209" t="s">
        <v>267</v>
      </c>
      <c r="B19" s="203">
        <f>(IF(B5=2,ROUNDUP((B2-0.03)/0.5,0),0))*B4</f>
        <v>0</v>
      </c>
      <c r="C19" s="846"/>
      <c r="D19" s="209">
        <f t="shared" si="0"/>
        <v>0</v>
      </c>
    </row>
    <row r="20" spans="1:4" ht="15">
      <c r="A20" s="209" t="s">
        <v>831</v>
      </c>
      <c r="B20" s="203">
        <f>(IF(B6=1,ROUNDUP(B3/0.3,0),0))*(B2-0.01)*B4</f>
        <v>23.88</v>
      </c>
      <c r="C20" s="846"/>
      <c r="D20" s="209">
        <f t="shared" si="0"/>
        <v>0</v>
      </c>
    </row>
    <row r="21" spans="1:4" ht="15">
      <c r="A21" s="209" t="s">
        <v>832</v>
      </c>
      <c r="B21" s="203">
        <f>(IF(B6=2,ROUNDUP(B3/0.3,0),0))*(B2-0.01)*B4</f>
        <v>0</v>
      </c>
      <c r="C21" s="859"/>
      <c r="D21" s="209">
        <f t="shared" si="0"/>
        <v>0</v>
      </c>
    </row>
    <row r="22" spans="1:4" ht="15">
      <c r="A22" s="209" t="s">
        <v>268</v>
      </c>
      <c r="B22" s="203">
        <f>(B2-0.026)*B4</f>
        <v>5.9219999999999997</v>
      </c>
      <c r="C22" s="859"/>
      <c r="D22" s="209">
        <f t="shared" si="0"/>
        <v>0</v>
      </c>
    </row>
    <row r="23" spans="1:4" ht="15">
      <c r="A23" s="217" t="s">
        <v>286</v>
      </c>
      <c r="B23" s="203">
        <f>(IF(B7=2,(B2-0.01)*B4,0))</f>
        <v>0</v>
      </c>
      <c r="C23" s="859"/>
      <c r="D23" s="217">
        <f t="shared" si="0"/>
        <v>0</v>
      </c>
    </row>
    <row r="24" spans="1:4" ht="15">
      <c r="A24" s="217" t="s">
        <v>269</v>
      </c>
      <c r="B24" s="203">
        <f>(IF(B7=1,(B2-0.01)*B4,0))</f>
        <v>5.97</v>
      </c>
      <c r="C24" s="860"/>
      <c r="D24" s="217">
        <f t="shared" si="0"/>
        <v>0</v>
      </c>
    </row>
    <row r="25" spans="1:4" ht="15">
      <c r="A25" s="209" t="s">
        <v>270</v>
      </c>
      <c r="B25" s="203">
        <f>B4*2</f>
        <v>6</v>
      </c>
      <c r="C25" s="846"/>
      <c r="D25" s="209">
        <f t="shared" si="0"/>
        <v>0</v>
      </c>
    </row>
    <row r="26" spans="1:4" ht="15">
      <c r="A26" s="209" t="s">
        <v>271</v>
      </c>
      <c r="B26" s="203">
        <f>B16*(B3+0.2)</f>
        <v>18</v>
      </c>
      <c r="C26" s="846"/>
      <c r="D26" s="209">
        <f t="shared" si="0"/>
        <v>0</v>
      </c>
    </row>
    <row r="27" spans="1:4" ht="15">
      <c r="A27" s="209" t="s">
        <v>272</v>
      </c>
      <c r="B27" s="203">
        <f>2*B4</f>
        <v>6</v>
      </c>
      <c r="C27" s="860"/>
      <c r="D27" s="209">
        <f t="shared" si="0"/>
        <v>0</v>
      </c>
    </row>
    <row r="28" spans="1:4" ht="15">
      <c r="A28" s="209" t="s">
        <v>273</v>
      </c>
      <c r="B28" s="203">
        <f>2*B4</f>
        <v>6</v>
      </c>
      <c r="C28" s="846"/>
      <c r="D28" s="209">
        <f t="shared" si="0"/>
        <v>0</v>
      </c>
    </row>
    <row r="29" spans="1:4" ht="15">
      <c r="A29" s="209" t="s">
        <v>276</v>
      </c>
      <c r="B29" s="203">
        <f>B4</f>
        <v>3</v>
      </c>
      <c r="C29" s="846"/>
      <c r="D29" s="209">
        <f t="shared" si="0"/>
        <v>0</v>
      </c>
    </row>
    <row r="30" spans="1:4" ht="15">
      <c r="A30" s="209" t="s">
        <v>145</v>
      </c>
      <c r="B30" s="203">
        <f>B10</f>
        <v>2</v>
      </c>
      <c r="C30" s="846"/>
      <c r="D30" s="209">
        <f t="shared" si="0"/>
        <v>0</v>
      </c>
    </row>
    <row r="31" spans="1:4" ht="15">
      <c r="A31" s="209" t="s">
        <v>278</v>
      </c>
      <c r="B31" s="203">
        <f>B9</f>
        <v>3</v>
      </c>
      <c r="C31" s="846"/>
      <c r="D31" s="209">
        <f t="shared" si="0"/>
        <v>0</v>
      </c>
    </row>
    <row r="32" spans="1:4" ht="15">
      <c r="A32" s="225" t="s">
        <v>124</v>
      </c>
      <c r="B32" s="226">
        <f>IF(B8=1,(B2)*(B4),0)</f>
        <v>0</v>
      </c>
      <c r="C32" s="860"/>
      <c r="D32" s="217">
        <f t="shared" si="0"/>
        <v>0</v>
      </c>
    </row>
    <row r="33" spans="1:4" ht="15">
      <c r="A33" s="209" t="s">
        <v>279</v>
      </c>
      <c r="B33" s="203">
        <f>B11</f>
        <v>1</v>
      </c>
      <c r="C33" s="846"/>
      <c r="D33" s="209">
        <f t="shared" si="0"/>
        <v>0</v>
      </c>
    </row>
    <row r="34" spans="1:4" ht="15">
      <c r="A34" s="1159" t="s">
        <v>241</v>
      </c>
      <c r="B34" s="1160"/>
      <c r="C34" s="1160"/>
      <c r="D34" s="1161"/>
    </row>
    <row r="35" spans="1:4" ht="15">
      <c r="A35" s="201" t="s">
        <v>233</v>
      </c>
      <c r="B35" s="203">
        <f>B4</f>
        <v>3</v>
      </c>
      <c r="C35" s="846"/>
      <c r="D35" s="209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/i6ETg8dYc2gROlUglrCvwtOofGVmuPq9LnxEFY9GoGjrmOYJ/prpWZhcbs3omFzuXm82hE8f5VqenCdQanP4w==" saltValue="ijb78gejkbMpDWEnr0azt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09" t="s">
        <v>777</v>
      </c>
      <c r="B1" s="1097"/>
      <c r="C1" s="1097"/>
      <c r="D1" s="1097"/>
    </row>
    <row r="2" spans="1:4">
      <c r="A2" s="110" t="s">
        <v>10</v>
      </c>
      <c r="B2" s="838">
        <v>1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>
      <c r="A4" s="111" t="s">
        <v>123</v>
      </c>
      <c r="B4" s="840">
        <v>1</v>
      </c>
      <c r="C4" s="1011" t="s">
        <v>30</v>
      </c>
      <c r="D4" s="1012"/>
    </row>
    <row r="5" spans="1:4">
      <c r="A5" s="824" t="s">
        <v>830</v>
      </c>
      <c r="B5" s="841">
        <v>1</v>
      </c>
      <c r="C5" s="792" t="s">
        <v>261</v>
      </c>
      <c r="D5" s="784" t="s">
        <v>262</v>
      </c>
    </row>
    <row r="6" spans="1:4">
      <c r="A6" s="824" t="s">
        <v>283</v>
      </c>
      <c r="B6" s="841">
        <v>0</v>
      </c>
      <c r="C6" s="792" t="s">
        <v>284</v>
      </c>
      <c r="D6" s="784" t="s">
        <v>285</v>
      </c>
    </row>
    <row r="7" spans="1:4">
      <c r="A7" s="824" t="s">
        <v>124</v>
      </c>
      <c r="B7" s="841">
        <v>0</v>
      </c>
      <c r="C7" s="788" t="s">
        <v>255</v>
      </c>
      <c r="D7" s="784" t="s">
        <v>287</v>
      </c>
    </row>
    <row r="8" spans="1:4" ht="33.75" customHeight="1">
      <c r="A8" s="824" t="s">
        <v>589</v>
      </c>
      <c r="B8" s="841">
        <v>0</v>
      </c>
      <c r="C8" s="1158" t="s">
        <v>791</v>
      </c>
      <c r="D8" s="1162"/>
    </row>
    <row r="9" spans="1:4">
      <c r="A9" s="825" t="s">
        <v>277</v>
      </c>
      <c r="B9" s="840">
        <v>0</v>
      </c>
      <c r="C9" s="1093" t="s">
        <v>30</v>
      </c>
      <c r="D9" s="1094"/>
    </row>
    <row r="10" spans="1:4" ht="12" thickBot="1">
      <c r="A10" s="112" t="s">
        <v>274</v>
      </c>
      <c r="B10" s="839">
        <v>0</v>
      </c>
      <c r="C10" s="1091" t="s">
        <v>30</v>
      </c>
      <c r="D10" s="1092"/>
    </row>
    <row r="11" spans="1:4" ht="12" thickBot="1">
      <c r="A11" s="1113"/>
      <c r="B11" s="1113"/>
      <c r="C11" s="1113"/>
      <c r="D11" s="1113"/>
    </row>
    <row r="12" spans="1:4" ht="12.75">
      <c r="A12" s="98" t="s">
        <v>5</v>
      </c>
      <c r="B12" s="99" t="s">
        <v>0</v>
      </c>
      <c r="C12" s="119" t="s">
        <v>4</v>
      </c>
      <c r="D12" s="791" t="s">
        <v>8</v>
      </c>
    </row>
    <row r="13" spans="1:4" ht="15">
      <c r="A13" s="785" t="s">
        <v>778</v>
      </c>
      <c r="B13" s="203">
        <f>(B2-0.032)*B4</f>
        <v>0.96799999999999997</v>
      </c>
      <c r="C13" s="842">
        <v>1</v>
      </c>
      <c r="D13" s="785">
        <f t="shared" ref="D13:D41" si="0">C13*B13</f>
        <v>0.96799999999999997</v>
      </c>
    </row>
    <row r="14" spans="1:4" ht="15">
      <c r="A14" s="785" t="s">
        <v>780</v>
      </c>
      <c r="B14" s="203">
        <f>ROUNDUP((((B2-0.15)/0.4)+2)*B4,0)</f>
        <v>5</v>
      </c>
      <c r="C14" s="842"/>
      <c r="D14" s="785">
        <f t="shared" si="0"/>
        <v>0</v>
      </c>
    </row>
    <row r="15" spans="1:4" ht="15">
      <c r="A15" s="785" t="s">
        <v>781</v>
      </c>
      <c r="B15" s="203">
        <f>B4*2</f>
        <v>2</v>
      </c>
      <c r="C15" s="842"/>
      <c r="D15" s="785">
        <f t="shared" si="0"/>
        <v>0</v>
      </c>
    </row>
    <row r="16" spans="1:4" ht="15">
      <c r="A16" s="785" t="s">
        <v>782</v>
      </c>
      <c r="B16" s="203">
        <f>B4</f>
        <v>1</v>
      </c>
      <c r="C16" s="842"/>
      <c r="D16" s="785">
        <f t="shared" si="0"/>
        <v>0</v>
      </c>
    </row>
    <row r="17" spans="1:4" ht="15">
      <c r="A17" s="785" t="s">
        <v>141</v>
      </c>
      <c r="B17" s="203">
        <f>B4</f>
        <v>1</v>
      </c>
      <c r="C17" s="842"/>
      <c r="D17" s="785">
        <f t="shared" si="0"/>
        <v>0</v>
      </c>
    </row>
    <row r="18" spans="1:4" ht="15">
      <c r="A18" s="785" t="s">
        <v>142</v>
      </c>
      <c r="B18" s="203">
        <f>B4</f>
        <v>1</v>
      </c>
      <c r="C18" s="842"/>
      <c r="D18" s="785">
        <f t="shared" si="0"/>
        <v>0</v>
      </c>
    </row>
    <row r="19" spans="1:4" ht="15">
      <c r="A19" s="785" t="s">
        <v>783</v>
      </c>
      <c r="B19" s="203">
        <f>ROUNDUP(((B2-0.15)/0.4)*B4,0)</f>
        <v>3</v>
      </c>
      <c r="C19" s="842"/>
      <c r="D19" s="785">
        <f t="shared" si="0"/>
        <v>0</v>
      </c>
    </row>
    <row r="20" spans="1:4" ht="15">
      <c r="A20" s="785" t="s">
        <v>784</v>
      </c>
      <c r="B20" s="203">
        <f>ROUNDUP(B2/0.4,0)*B4</f>
        <v>3</v>
      </c>
      <c r="C20" s="842"/>
      <c r="D20" s="785">
        <f t="shared" si="0"/>
        <v>0</v>
      </c>
    </row>
    <row r="21" spans="1:4" ht="15">
      <c r="A21" s="785" t="s">
        <v>785</v>
      </c>
      <c r="B21" s="203">
        <f>B4</f>
        <v>1</v>
      </c>
      <c r="C21" s="842"/>
      <c r="D21" s="785">
        <f t="shared" si="0"/>
        <v>0</v>
      </c>
    </row>
    <row r="22" spans="1:4" ht="15">
      <c r="A22" s="785" t="s">
        <v>265</v>
      </c>
      <c r="B22" s="203">
        <f>B20</f>
        <v>3</v>
      </c>
      <c r="C22" s="842"/>
      <c r="D22" s="785">
        <f t="shared" si="0"/>
        <v>0</v>
      </c>
    </row>
    <row r="23" spans="1:4" ht="15">
      <c r="A23" s="785" t="s">
        <v>786</v>
      </c>
      <c r="B23" s="203">
        <f>ROUNDUP((B2-0.03)/0.5,0)*B4</f>
        <v>2</v>
      </c>
      <c r="C23" s="842"/>
      <c r="D23" s="785">
        <f t="shared" si="0"/>
        <v>0</v>
      </c>
    </row>
    <row r="24" spans="1:4" ht="15">
      <c r="A24" s="785" t="s">
        <v>787</v>
      </c>
      <c r="B24" s="203">
        <f>ROUNDUP(B2/0.4,0)*B4</f>
        <v>3</v>
      </c>
      <c r="C24" s="843"/>
      <c r="D24" s="785">
        <f t="shared" si="0"/>
        <v>0</v>
      </c>
    </row>
    <row r="25" spans="1:4" ht="15">
      <c r="A25" s="785" t="s">
        <v>833</v>
      </c>
      <c r="B25" s="203">
        <f>(IF(B5=1,ROUNDUP(B3/0.3,0),0))*(B2-0.01)*B4</f>
        <v>3.96</v>
      </c>
      <c r="C25" s="843"/>
      <c r="D25" s="785">
        <f t="shared" si="0"/>
        <v>0</v>
      </c>
    </row>
    <row r="26" spans="1:4" ht="15">
      <c r="A26" s="785" t="s">
        <v>832</v>
      </c>
      <c r="B26" s="203">
        <f>(IF(B5=2,ROUNDUP(B3/0.3,0),0))*(B2-0.01)*B4</f>
        <v>0</v>
      </c>
      <c r="C26" s="842"/>
      <c r="D26" s="785">
        <f t="shared" si="0"/>
        <v>0</v>
      </c>
    </row>
    <row r="27" spans="1:4" ht="15">
      <c r="A27" s="785" t="s">
        <v>779</v>
      </c>
      <c r="B27" s="203">
        <f>(B2-0.08)*B4</f>
        <v>0.92</v>
      </c>
      <c r="C27" s="842"/>
      <c r="D27" s="785">
        <f t="shared" si="0"/>
        <v>0</v>
      </c>
    </row>
    <row r="28" spans="1:4" ht="15">
      <c r="A28" s="785" t="s">
        <v>286</v>
      </c>
      <c r="B28" s="203">
        <f>(IF(B6=2,(B2-0.01)*B4,0))</f>
        <v>0</v>
      </c>
      <c r="C28" s="842"/>
      <c r="D28" s="785">
        <f t="shared" si="0"/>
        <v>0</v>
      </c>
    </row>
    <row r="29" spans="1:4" ht="15">
      <c r="A29" s="785" t="s">
        <v>269</v>
      </c>
      <c r="B29" s="203">
        <f>(IF(B6=1,(B2-0.01)*B4,0))</f>
        <v>0</v>
      </c>
      <c r="C29" s="844"/>
      <c r="D29" s="785">
        <f t="shared" si="0"/>
        <v>0</v>
      </c>
    </row>
    <row r="30" spans="1:4" ht="15">
      <c r="A30" s="785" t="s">
        <v>789</v>
      </c>
      <c r="B30" s="203">
        <f>B4*4</f>
        <v>4</v>
      </c>
      <c r="C30" s="843"/>
      <c r="D30" s="785">
        <f t="shared" si="0"/>
        <v>0</v>
      </c>
    </row>
    <row r="31" spans="1:4" ht="15">
      <c r="A31" s="785" t="s">
        <v>788</v>
      </c>
      <c r="B31" s="203">
        <f>B20*(B3+0.2)</f>
        <v>3.5999999999999996</v>
      </c>
      <c r="C31" s="843"/>
      <c r="D31" s="785">
        <f t="shared" si="0"/>
        <v>0</v>
      </c>
    </row>
    <row r="32" spans="1:4" ht="15">
      <c r="A32" s="785" t="s">
        <v>790</v>
      </c>
      <c r="B32" s="203">
        <f>ROUNDUP((((B2-0.15)/0.4)+2)*B4*2,0)</f>
        <v>9</v>
      </c>
      <c r="C32" s="844"/>
      <c r="D32" s="785">
        <f t="shared" si="0"/>
        <v>0</v>
      </c>
    </row>
    <row r="33" spans="1:4" ht="15">
      <c r="A33" s="785" t="s">
        <v>145</v>
      </c>
      <c r="B33" s="226">
        <f>B9*B4</f>
        <v>0</v>
      </c>
      <c r="C33" s="844"/>
      <c r="D33" s="785">
        <f t="shared" si="0"/>
        <v>0</v>
      </c>
    </row>
    <row r="34" spans="1:4" ht="15">
      <c r="A34" s="23" t="s">
        <v>689</v>
      </c>
      <c r="B34" s="226">
        <f>B10*B4</f>
        <v>0</v>
      </c>
      <c r="C34" s="844"/>
      <c r="D34" s="785">
        <f t="shared" si="0"/>
        <v>0</v>
      </c>
    </row>
    <row r="35" spans="1:4" ht="15">
      <c r="A35" s="225" t="s">
        <v>124</v>
      </c>
      <c r="B35" s="226">
        <f>IF(B7=1,B2*B4,0)</f>
        <v>0</v>
      </c>
      <c r="C35" s="844"/>
      <c r="D35" s="785">
        <f t="shared" si="0"/>
        <v>0</v>
      </c>
    </row>
    <row r="36" spans="1:4" ht="15">
      <c r="A36" s="1159" t="s">
        <v>241</v>
      </c>
      <c r="B36" s="1160"/>
      <c r="C36" s="1160"/>
      <c r="D36" s="1161"/>
    </row>
    <row r="37" spans="1:4" ht="15">
      <c r="A37" s="423" t="s">
        <v>489</v>
      </c>
      <c r="B37" s="845">
        <f>IF(B8=1,B4,0)</f>
        <v>0</v>
      </c>
      <c r="C37" s="846"/>
      <c r="D37" s="785">
        <f t="shared" si="0"/>
        <v>0</v>
      </c>
    </row>
    <row r="38" spans="1:4" ht="15">
      <c r="A38" s="425" t="s">
        <v>486</v>
      </c>
      <c r="B38" s="845">
        <f>IF(B8=2,B4,0)</f>
        <v>0</v>
      </c>
      <c r="C38" s="846"/>
      <c r="D38" s="785">
        <f t="shared" si="0"/>
        <v>0</v>
      </c>
    </row>
    <row r="39" spans="1:4" ht="15">
      <c r="A39" s="425" t="s">
        <v>487</v>
      </c>
      <c r="B39" s="845">
        <f>IF(B8=3,B4,0)</f>
        <v>0</v>
      </c>
      <c r="C39" s="846"/>
      <c r="D39" s="785">
        <f t="shared" si="0"/>
        <v>0</v>
      </c>
    </row>
    <row r="40" spans="1:4" ht="15">
      <c r="A40" s="425" t="s">
        <v>488</v>
      </c>
      <c r="B40" s="845">
        <f>IF(B8=4,B4,0)</f>
        <v>0</v>
      </c>
      <c r="C40" s="846"/>
      <c r="D40" s="785">
        <f t="shared" si="0"/>
        <v>0</v>
      </c>
    </row>
    <row r="41" spans="1:4" ht="15">
      <c r="A41" s="425" t="s">
        <v>494</v>
      </c>
      <c r="B41" s="845">
        <f>IF(B8=5,B4,0)</f>
        <v>0</v>
      </c>
      <c r="C41" s="846"/>
      <c r="D41" s="785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tabSelected="1" zoomScaleNormal="100" workbookViewId="0">
      <pane ySplit="29" topLeftCell="A33" activePane="bottomLeft" state="frozen"/>
      <selection pane="bottomLeft" activeCell="C43" sqref="C43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12"/>
      <c r="B1" s="1164"/>
      <c r="C1" s="1165"/>
      <c r="D1" s="1165"/>
      <c r="E1" s="1165"/>
      <c r="F1" s="413"/>
      <c r="G1" s="413"/>
      <c r="H1" s="412"/>
      <c r="I1" s="412"/>
      <c r="J1" s="412"/>
      <c r="K1" s="412"/>
    </row>
    <row r="2" spans="1:16" ht="12" customHeight="1" thickBot="1">
      <c r="A2" s="412"/>
      <c r="B2" s="414" t="s">
        <v>10</v>
      </c>
      <c r="C2" s="465">
        <v>1</v>
      </c>
      <c r="D2" s="1166" t="s">
        <v>595</v>
      </c>
      <c r="E2" s="1167"/>
      <c r="F2" s="1168"/>
      <c r="G2" s="415"/>
      <c r="H2" s="416" t="s">
        <v>485</v>
      </c>
      <c r="I2" s="417" t="s">
        <v>604</v>
      </c>
      <c r="J2" s="417" t="s">
        <v>4</v>
      </c>
      <c r="K2" s="418" t="s">
        <v>8</v>
      </c>
      <c r="L2" s="262"/>
      <c r="M2" s="262"/>
    </row>
    <row r="3" spans="1:16" ht="12" customHeight="1" thickBot="1">
      <c r="A3" s="412"/>
      <c r="B3" s="419" t="s">
        <v>1</v>
      </c>
      <c r="C3" s="466">
        <v>2</v>
      </c>
      <c r="D3" s="1169"/>
      <c r="E3" s="1170"/>
      <c r="F3" s="1171"/>
      <c r="G3" s="415"/>
      <c r="H3" s="578" t="s">
        <v>372</v>
      </c>
      <c r="I3" s="579" t="str">
        <f>IF(AND($C$10+$C$11=1,$C$12+$C$13+$C$14+$C$15=0,$C$16=2),"ДА","НЕТ")</f>
        <v>НЕТ</v>
      </c>
      <c r="J3" s="580"/>
      <c r="K3" s="581">
        <f>IF(I3="ДА",($C$4+$C$5+$C$6+$C$7+$C$8+$C$9)*J3,0)</f>
        <v>0</v>
      </c>
      <c r="L3" s="272"/>
    </row>
    <row r="4" spans="1:16" ht="11.25" customHeight="1">
      <c r="A4" s="412"/>
      <c r="B4" s="422" t="s">
        <v>520</v>
      </c>
      <c r="C4" s="467">
        <v>1</v>
      </c>
      <c r="D4" s="1167" t="s">
        <v>596</v>
      </c>
      <c r="E4" s="1167"/>
      <c r="F4" s="1168"/>
      <c r="G4" s="415"/>
      <c r="H4" s="423" t="s">
        <v>373</v>
      </c>
      <c r="I4" s="421" t="str">
        <f>IF(AND($C$10+$C$11=1,$C$12+$C$13+$C$14+$C$15=0,$C$16=2),"ДА","НЕТ")</f>
        <v>НЕТ</v>
      </c>
      <c r="J4" s="402"/>
      <c r="K4" s="326">
        <f t="shared" ref="K4:K21" si="0">IF(I4="ДА",($C$4+$C$5+$C$6+$C$7+$C$8+$C$9)*J4,0)</f>
        <v>0</v>
      </c>
      <c r="L4" s="272"/>
      <c r="M4" s="474"/>
    </row>
    <row r="5" spans="1:16" ht="11.25" customHeight="1">
      <c r="A5" s="412"/>
      <c r="B5" s="424" t="s">
        <v>391</v>
      </c>
      <c r="C5" s="468"/>
      <c r="D5" s="1172"/>
      <c r="E5" s="1172"/>
      <c r="F5" s="1173"/>
      <c r="G5" s="415"/>
      <c r="H5" s="423" t="s">
        <v>374</v>
      </c>
      <c r="I5" s="421" t="str">
        <f>IF(AND($C$10+$C$11=1,$C$12+$C$13+$C$14+$C$15=0,$C$16=2),"ДА","НЕТ")</f>
        <v>НЕТ</v>
      </c>
      <c r="J5" s="402"/>
      <c r="K5" s="326">
        <f t="shared" si="0"/>
        <v>0</v>
      </c>
      <c r="L5" s="272"/>
      <c r="M5" s="474"/>
    </row>
    <row r="6" spans="1:16" ht="12" customHeight="1">
      <c r="A6" s="412"/>
      <c r="B6" s="424" t="s">
        <v>392</v>
      </c>
      <c r="C6" s="468">
        <v>0</v>
      </c>
      <c r="D6" s="1172"/>
      <c r="E6" s="1172"/>
      <c r="F6" s="1173"/>
      <c r="G6" s="415"/>
      <c r="H6" s="425" t="s">
        <v>376</v>
      </c>
      <c r="I6" s="421" t="str">
        <f>IF(AND($C$10+$C$11=1,$C$12+$C$13+$C$14+$C$15=0,$C$16=3),"ДА","НЕТ")</f>
        <v>НЕТ</v>
      </c>
      <c r="J6" s="329"/>
      <c r="K6" s="326">
        <f t="shared" si="0"/>
        <v>0</v>
      </c>
      <c r="L6" s="272"/>
      <c r="M6" s="474"/>
    </row>
    <row r="7" spans="1:16" ht="11.25" customHeight="1">
      <c r="A7" s="412"/>
      <c r="B7" s="426" t="s">
        <v>546</v>
      </c>
      <c r="C7" s="469"/>
      <c r="D7" s="1172"/>
      <c r="E7" s="1172"/>
      <c r="F7" s="1173"/>
      <c r="G7" s="415"/>
      <c r="H7" s="423" t="s">
        <v>489</v>
      </c>
      <c r="I7" s="421" t="str">
        <f>IF(AND($C$12=1,$C$11+$C$13+$C$14+$C$15=0,$C$16=1),"ДА","НЕТ")</f>
        <v>НЕТ</v>
      </c>
      <c r="J7" s="402"/>
      <c r="K7" s="326">
        <f t="shared" si="0"/>
        <v>0</v>
      </c>
      <c r="L7" s="272"/>
      <c r="M7" s="474"/>
      <c r="N7" s="261"/>
      <c r="O7" s="261"/>
      <c r="P7" s="261"/>
    </row>
    <row r="8" spans="1:16" ht="11.25" customHeight="1">
      <c r="A8" s="412"/>
      <c r="B8" s="424" t="s">
        <v>547</v>
      </c>
      <c r="C8" s="468">
        <v>0</v>
      </c>
      <c r="D8" s="1172"/>
      <c r="E8" s="1172"/>
      <c r="F8" s="1173"/>
      <c r="G8" s="415"/>
      <c r="H8" s="425" t="s">
        <v>486</v>
      </c>
      <c r="I8" s="421" t="str">
        <f>IF(AND($C$12=1,$C$11+$C$13+$C$14+$C$15=0,$C$16=3),"ДА","НЕТ")</f>
        <v>НЕТ</v>
      </c>
      <c r="J8" s="329"/>
      <c r="K8" s="326">
        <f t="shared" si="0"/>
        <v>0</v>
      </c>
      <c r="L8" s="272"/>
      <c r="M8" s="474"/>
    </row>
    <row r="9" spans="1:16" ht="12" customHeight="1" thickBot="1">
      <c r="A9" s="412"/>
      <c r="B9" s="419" t="s">
        <v>548</v>
      </c>
      <c r="C9" s="470">
        <v>0</v>
      </c>
      <c r="D9" s="1170"/>
      <c r="E9" s="1170"/>
      <c r="F9" s="1171"/>
      <c r="G9" s="415"/>
      <c r="H9" s="425" t="s">
        <v>487</v>
      </c>
      <c r="I9" s="421" t="str">
        <f>IF(AND($C$12=1,$C$11+$C$13+$C$14+$C$15=0,$C$16=2),"ДА","НЕТ")</f>
        <v>НЕТ</v>
      </c>
      <c r="J9" s="329"/>
      <c r="K9" s="326">
        <f t="shared" si="0"/>
        <v>0</v>
      </c>
      <c r="L9" s="272"/>
      <c r="M9" s="474"/>
      <c r="N9" s="71"/>
      <c r="O9" s="71"/>
    </row>
    <row r="10" spans="1:16" ht="11.25" customHeight="1">
      <c r="A10" s="412"/>
      <c r="B10" s="414" t="s">
        <v>521</v>
      </c>
      <c r="C10" s="471">
        <v>1</v>
      </c>
      <c r="D10" s="427" t="s">
        <v>287</v>
      </c>
      <c r="E10" s="428" t="s">
        <v>255</v>
      </c>
      <c r="F10" s="1174" t="s">
        <v>596</v>
      </c>
      <c r="G10" s="415"/>
      <c r="H10" s="425" t="s">
        <v>488</v>
      </c>
      <c r="I10" s="421" t="str">
        <f>IF(AND($C$12=1,$C$11+$C$13+$C$14+$C$15=0,$C$16=2),"ДА","НЕТ")</f>
        <v>НЕТ</v>
      </c>
      <c r="J10" s="329"/>
      <c r="K10" s="326">
        <f t="shared" si="0"/>
        <v>0</v>
      </c>
      <c r="L10" s="272"/>
      <c r="M10" s="474"/>
      <c r="N10" s="71"/>
      <c r="O10" s="71"/>
    </row>
    <row r="11" spans="1:16" ht="11.25" customHeight="1">
      <c r="A11" s="412"/>
      <c r="B11" s="426" t="s">
        <v>490</v>
      </c>
      <c r="C11" s="469"/>
      <c r="D11" s="429" t="s">
        <v>287</v>
      </c>
      <c r="E11" s="430" t="s">
        <v>255</v>
      </c>
      <c r="F11" s="1175"/>
      <c r="G11" s="415"/>
      <c r="H11" s="425" t="s">
        <v>494</v>
      </c>
      <c r="I11" s="421" t="str">
        <f>IF(AND($C$12=1,$C$11+$C$13+$C$14+$C$15=0,$C$16=2),"ДА","НЕТ")</f>
        <v>НЕТ</v>
      </c>
      <c r="J11" s="329"/>
      <c r="K11" s="326">
        <f t="shared" si="0"/>
        <v>0</v>
      </c>
      <c r="L11" s="272"/>
      <c r="M11" s="474"/>
      <c r="N11" s="71"/>
      <c r="O11" s="71"/>
    </row>
    <row r="12" spans="1:16" ht="12" customHeight="1">
      <c r="A12" s="412"/>
      <c r="B12" s="424" t="s">
        <v>491</v>
      </c>
      <c r="C12" s="468">
        <v>0</v>
      </c>
      <c r="D12" s="431" t="s">
        <v>287</v>
      </c>
      <c r="E12" s="432" t="s">
        <v>255</v>
      </c>
      <c r="F12" s="1175"/>
      <c r="G12" s="433"/>
      <c r="H12" s="425" t="s">
        <v>673</v>
      </c>
      <c r="I12" s="421" t="str">
        <f>IF(AND($C$13=1,$C$10+$C$11+$C$12+$C$14+$C$15=0,$C$16=2),"ДА","НЕТ")</f>
        <v>НЕТ</v>
      </c>
      <c r="J12" s="329"/>
      <c r="K12" s="326">
        <f t="shared" si="0"/>
        <v>0</v>
      </c>
      <c r="L12" s="272"/>
      <c r="M12" s="474"/>
    </row>
    <row r="13" spans="1:16" ht="11.25" customHeight="1">
      <c r="A13" s="412"/>
      <c r="B13" s="426" t="s">
        <v>522</v>
      </c>
      <c r="C13" s="469">
        <v>1</v>
      </c>
      <c r="D13" s="429" t="s">
        <v>287</v>
      </c>
      <c r="E13" s="430" t="s">
        <v>255</v>
      </c>
      <c r="F13" s="1175"/>
      <c r="G13" s="415"/>
      <c r="H13" s="425" t="s">
        <v>518</v>
      </c>
      <c r="I13" s="421" t="str">
        <f>IF(AND($C$13=1,$C$10+$C$11+$C$12+$C$14+$C$15=0,$C$16=2),"ДА","НЕТ")</f>
        <v>НЕТ</v>
      </c>
      <c r="J13" s="329"/>
      <c r="K13" s="326">
        <f t="shared" si="0"/>
        <v>0</v>
      </c>
      <c r="L13" s="272"/>
      <c r="M13" s="474"/>
    </row>
    <row r="14" spans="1:16" ht="11.25" customHeight="1">
      <c r="A14" s="412"/>
      <c r="B14" s="426" t="s">
        <v>492</v>
      </c>
      <c r="C14" s="469">
        <v>0</v>
      </c>
      <c r="D14" s="431" t="s">
        <v>287</v>
      </c>
      <c r="E14" s="432" t="s">
        <v>255</v>
      </c>
      <c r="F14" s="1175"/>
      <c r="G14" s="415"/>
      <c r="H14" s="425" t="s">
        <v>519</v>
      </c>
      <c r="I14" s="421" t="str">
        <f>IF(AND($C$13=1,$C$10+$C$11+$C$12+$C$14+$C$15=0,$C$16=1),"ДА","НЕТ")</f>
        <v>НЕТ</v>
      </c>
      <c r="J14" s="329"/>
      <c r="K14" s="326">
        <f t="shared" si="0"/>
        <v>0</v>
      </c>
      <c r="L14" s="272"/>
      <c r="M14" s="474"/>
    </row>
    <row r="15" spans="1:16" ht="12" customHeight="1" thickBot="1">
      <c r="A15" s="412"/>
      <c r="B15" s="419" t="s">
        <v>493</v>
      </c>
      <c r="C15" s="470">
        <v>0</v>
      </c>
      <c r="D15" s="434" t="s">
        <v>287</v>
      </c>
      <c r="E15" s="435" t="s">
        <v>255</v>
      </c>
      <c r="F15" s="1176"/>
      <c r="G15" s="433"/>
      <c r="H15" s="423" t="s">
        <v>379</v>
      </c>
      <c r="I15" s="421" t="str">
        <f>IF(AND($C$14=1,$C$10+$C$11+$C$12+$C$13+$C$15=0,$C$16=2),"ДА","НЕТ")</f>
        <v>НЕТ</v>
      </c>
      <c r="J15" s="332"/>
      <c r="K15" s="326">
        <f t="shared" si="0"/>
        <v>0</v>
      </c>
      <c r="L15" s="272"/>
      <c r="M15" s="474"/>
    </row>
    <row r="16" spans="1:16" ht="12" customHeight="1" thickBot="1">
      <c r="A16" s="412"/>
      <c r="B16" s="436" t="s">
        <v>589</v>
      </c>
      <c r="C16" s="472">
        <v>1</v>
      </c>
      <c r="D16" s="437" t="s">
        <v>619</v>
      </c>
      <c r="E16" s="435" t="s">
        <v>620</v>
      </c>
      <c r="F16" s="722" t="s">
        <v>621</v>
      </c>
      <c r="G16" s="433"/>
      <c r="H16" s="420" t="s">
        <v>381</v>
      </c>
      <c r="I16" s="421" t="str">
        <f>IF(AND($C$14=1,$C$10+$C$11+$C$12+$C$13+$C$15=0,$C$16=1),"ДА","НЕТ")</f>
        <v>НЕТ</v>
      </c>
      <c r="J16" s="332"/>
      <c r="K16" s="326">
        <f t="shared" si="0"/>
        <v>0</v>
      </c>
      <c r="L16" s="272"/>
      <c r="M16" s="474"/>
    </row>
    <row r="17" spans="1:13" ht="12" customHeight="1" thickBot="1">
      <c r="A17" s="412"/>
      <c r="B17" s="436" t="s">
        <v>531</v>
      </c>
      <c r="C17" s="472">
        <v>0</v>
      </c>
      <c r="D17" s="440" t="s">
        <v>287</v>
      </c>
      <c r="E17" s="723" t="s">
        <v>255</v>
      </c>
      <c r="F17" s="477" t="s">
        <v>668</v>
      </c>
      <c r="G17" s="415"/>
      <c r="H17" s="420" t="s">
        <v>382</v>
      </c>
      <c r="I17" s="421" t="str">
        <f>IF(AND($C$14=1,$C$10+$C$11+$C$12+$C$13+$C$15=0,$C$16=3),"ДА","НЕТ")</f>
        <v>НЕТ</v>
      </c>
      <c r="J17" s="332"/>
      <c r="K17" s="326">
        <f t="shared" si="0"/>
        <v>0</v>
      </c>
      <c r="L17" s="272"/>
      <c r="M17" s="474"/>
    </row>
    <row r="18" spans="1:13" ht="12" customHeight="1" thickBot="1">
      <c r="A18" s="412"/>
      <c r="B18" s="447" t="s">
        <v>532</v>
      </c>
      <c r="C18" s="473">
        <v>1</v>
      </c>
      <c r="D18" s="434" t="s">
        <v>287</v>
      </c>
      <c r="E18" s="435" t="s">
        <v>255</v>
      </c>
      <c r="F18" s="475"/>
      <c r="G18" s="415"/>
      <c r="H18" s="420" t="s">
        <v>383</v>
      </c>
      <c r="I18" s="421" t="str">
        <f>IF(AND($C$15=1,$C$10+$C$11+$C$12+$C$13+$C$14=0,$C$16=1),"ДА","НЕТ")</f>
        <v>НЕТ</v>
      </c>
      <c r="J18" s="332"/>
      <c r="K18" s="326">
        <f t="shared" si="0"/>
        <v>0</v>
      </c>
      <c r="L18" s="272"/>
      <c r="M18" s="474"/>
    </row>
    <row r="19" spans="1:13" ht="12" customHeight="1" thickBot="1">
      <c r="A19" s="412"/>
      <c r="B19" s="436" t="s">
        <v>393</v>
      </c>
      <c r="C19" s="472">
        <v>0</v>
      </c>
      <c r="D19" s="439" t="s">
        <v>394</v>
      </c>
      <c r="E19" s="723" t="s">
        <v>395</v>
      </c>
      <c r="F19" s="476"/>
      <c r="G19" s="442"/>
      <c r="H19" s="423" t="s">
        <v>384</v>
      </c>
      <c r="I19" s="421" t="str">
        <f>IF(AND($C$15=1,$C$10+$C$11+$C$12+$C$13+$C$14=0,$C$16=1),"ДА","НЕТ")</f>
        <v>НЕТ</v>
      </c>
      <c r="J19" s="332"/>
      <c r="K19" s="326">
        <f t="shared" si="0"/>
        <v>0</v>
      </c>
      <c r="L19" s="272"/>
      <c r="M19" s="474"/>
    </row>
    <row r="20" spans="1:13" ht="12" customHeight="1" thickBot="1">
      <c r="A20" s="412"/>
      <c r="B20" s="436" t="s">
        <v>722</v>
      </c>
      <c r="C20" s="473">
        <v>0</v>
      </c>
      <c r="D20" s="434" t="s">
        <v>287</v>
      </c>
      <c r="E20" s="435" t="s">
        <v>255</v>
      </c>
      <c r="F20" s="475"/>
      <c r="G20" s="442"/>
      <c r="H20" s="420" t="s">
        <v>388</v>
      </c>
      <c r="I20" s="421" t="str">
        <f>IF(AND($C$15=1,$C$10+$C$11+$C$12+$C$13+$C$14=0,$C$16=2),"ДА","НЕТ")</f>
        <v>НЕТ</v>
      </c>
      <c r="J20" s="332"/>
      <c r="K20" s="326">
        <f t="shared" si="0"/>
        <v>0</v>
      </c>
      <c r="L20" s="272"/>
      <c r="M20" s="474"/>
    </row>
    <row r="21" spans="1:13" ht="11.25" customHeight="1" thickBot="1">
      <c r="A21" s="412"/>
      <c r="B21" s="436" t="s">
        <v>358</v>
      </c>
      <c r="C21" s="472">
        <v>2</v>
      </c>
      <c r="D21" s="440" t="s">
        <v>622</v>
      </c>
      <c r="E21" s="723" t="s">
        <v>623</v>
      </c>
      <c r="F21" s="443" t="s">
        <v>624</v>
      </c>
      <c r="G21" s="415"/>
      <c r="H21" s="444" t="s">
        <v>389</v>
      </c>
      <c r="I21" s="445" t="str">
        <f>IF(AND($C$15=1,$C$10+$C$11+$C$12+$C$13+$C$14=0,$C$16=2),"ДА","НЕТ")</f>
        <v>НЕТ</v>
      </c>
      <c r="J21" s="339"/>
      <c r="K21" s="482">
        <f t="shared" si="0"/>
        <v>0</v>
      </c>
      <c r="L21" s="272"/>
      <c r="M21" s="474"/>
    </row>
    <row r="22" spans="1:13" ht="11.25" customHeight="1">
      <c r="A22" s="412"/>
      <c r="B22" s="414" t="s">
        <v>361</v>
      </c>
      <c r="C22" s="471">
        <v>0</v>
      </c>
      <c r="D22" s="427" t="s">
        <v>287</v>
      </c>
      <c r="E22" s="428" t="s">
        <v>255</v>
      </c>
      <c r="F22" s="1174" t="s">
        <v>597</v>
      </c>
      <c r="G22" s="415"/>
      <c r="H22" s="446"/>
      <c r="I22" s="446"/>
      <c r="J22" s="446"/>
      <c r="K22" s="446"/>
      <c r="L22" s="272"/>
      <c r="M22" s="474"/>
    </row>
    <row r="23" spans="1:13" ht="11.25" customHeight="1">
      <c r="A23" s="412"/>
      <c r="B23" s="424" t="s">
        <v>362</v>
      </c>
      <c r="C23" s="468">
        <v>0</v>
      </c>
      <c r="D23" s="431" t="s">
        <v>287</v>
      </c>
      <c r="E23" s="432" t="s">
        <v>255</v>
      </c>
      <c r="F23" s="1175"/>
      <c r="G23" s="415"/>
      <c r="H23" s="446"/>
      <c r="I23" s="446"/>
      <c r="J23" s="446"/>
      <c r="K23" s="446"/>
      <c r="L23" s="272"/>
      <c r="M23" s="474"/>
    </row>
    <row r="24" spans="1:13" ht="12" customHeight="1">
      <c r="A24" s="412"/>
      <c r="B24" s="424" t="s">
        <v>466</v>
      </c>
      <c r="C24" s="468">
        <v>0</v>
      </c>
      <c r="D24" s="431" t="s">
        <v>287</v>
      </c>
      <c r="E24" s="432" t="s">
        <v>255</v>
      </c>
      <c r="F24" s="1175"/>
      <c r="G24" s="415"/>
      <c r="H24" s="448"/>
      <c r="I24" s="448"/>
      <c r="J24" s="446"/>
      <c r="K24" s="446"/>
      <c r="L24" s="256"/>
      <c r="M24" s="256"/>
    </row>
    <row r="25" spans="1:13" ht="12" customHeight="1" thickBot="1">
      <c r="A25" s="412"/>
      <c r="B25" s="521" t="s">
        <v>523</v>
      </c>
      <c r="C25" s="520">
        <v>0</v>
      </c>
      <c r="D25" s="633" t="s">
        <v>287</v>
      </c>
      <c r="E25" s="523" t="s">
        <v>255</v>
      </c>
      <c r="F25" s="1175"/>
      <c r="G25" s="721"/>
      <c r="H25" s="448"/>
      <c r="I25" s="448"/>
      <c r="J25" s="446"/>
      <c r="K25" s="446"/>
      <c r="L25" s="256"/>
      <c r="M25" s="256"/>
    </row>
    <row r="26" spans="1:13" ht="12" customHeight="1">
      <c r="A26" s="412"/>
      <c r="B26" s="414" t="s">
        <v>147</v>
      </c>
      <c r="C26" s="471">
        <v>0</v>
      </c>
      <c r="D26" s="1177" t="s">
        <v>686</v>
      </c>
      <c r="E26" s="1178"/>
      <c r="F26" s="1179"/>
      <c r="G26" s="721"/>
      <c r="H26" s="448"/>
      <c r="I26" s="448"/>
      <c r="J26" s="446"/>
      <c r="K26" s="446"/>
      <c r="L26" s="256"/>
      <c r="M26" s="256"/>
    </row>
    <row r="27" spans="1:13" ht="12" customHeight="1">
      <c r="A27" s="412"/>
      <c r="B27" s="424" t="s">
        <v>146</v>
      </c>
      <c r="C27" s="468">
        <v>0</v>
      </c>
      <c r="D27" s="1180" t="s">
        <v>687</v>
      </c>
      <c r="E27" s="1181"/>
      <c r="F27" s="1182"/>
      <c r="G27" s="721"/>
      <c r="H27" s="448"/>
      <c r="I27" s="448"/>
      <c r="J27" s="446"/>
      <c r="K27" s="446"/>
      <c r="L27" s="256"/>
      <c r="M27" s="256"/>
    </row>
    <row r="28" spans="1:13" ht="12" customHeight="1" thickBot="1">
      <c r="A28" s="412"/>
      <c r="B28" s="419" t="s">
        <v>143</v>
      </c>
      <c r="C28" s="470">
        <v>0</v>
      </c>
      <c r="D28" s="1183" t="s">
        <v>688</v>
      </c>
      <c r="E28" s="1184"/>
      <c r="F28" s="1185"/>
      <c r="G28" s="415"/>
      <c r="H28" s="450"/>
      <c r="I28" s="446"/>
      <c r="J28" s="446"/>
      <c r="K28" s="446"/>
    </row>
    <row r="29" spans="1:13" ht="12.75" customHeight="1" thickBot="1">
      <c r="A29" s="412"/>
      <c r="B29" s="1163"/>
      <c r="C29" s="1163"/>
      <c r="D29" s="1163"/>
      <c r="E29" s="1163"/>
      <c r="F29" s="415"/>
      <c r="G29" s="455"/>
      <c r="H29" s="450"/>
      <c r="I29" s="446"/>
      <c r="J29" s="446"/>
      <c r="K29" s="446"/>
    </row>
    <row r="30" spans="1:13" ht="12" customHeight="1">
      <c r="A30" s="412"/>
      <c r="B30" s="451" t="s">
        <v>5</v>
      </c>
      <c r="C30" s="452" t="s">
        <v>0</v>
      </c>
      <c r="D30" s="453" t="s">
        <v>4</v>
      </c>
      <c r="E30" s="454" t="s">
        <v>8</v>
      </c>
      <c r="F30" s="455"/>
      <c r="G30" s="352"/>
      <c r="H30" s="415"/>
      <c r="I30" s="415"/>
      <c r="J30" s="446"/>
      <c r="K30" s="446"/>
    </row>
    <row r="31" spans="1:13">
      <c r="A31" s="412"/>
      <c r="B31" s="456" t="s">
        <v>605</v>
      </c>
      <c r="C31" s="349">
        <f>IF(C17=0,C24*(C4+C5+C6+C7+C8+C9),0)</f>
        <v>0</v>
      </c>
      <c r="D31" s="403">
        <v>1</v>
      </c>
      <c r="E31" s="351">
        <f>C31*D31</f>
        <v>0</v>
      </c>
      <c r="F31" s="352"/>
      <c r="G31" s="352"/>
      <c r="H31" s="446"/>
      <c r="I31" s="446"/>
      <c r="J31" s="446"/>
      <c r="K31" s="446"/>
    </row>
    <row r="32" spans="1:13">
      <c r="A32" s="412"/>
      <c r="B32" s="456" t="s">
        <v>563</v>
      </c>
      <c r="C32" s="349">
        <f>IF(C17=0,C25*(C4+C5+C6+C7+C8+C9),0)</f>
        <v>0</v>
      </c>
      <c r="D32" s="403"/>
      <c r="E32" s="351">
        <f t="shared" ref="E32:E93" si="1">C32*D32</f>
        <v>0</v>
      </c>
      <c r="F32" s="352"/>
      <c r="G32" s="352"/>
      <c r="H32" s="457"/>
      <c r="I32" s="415"/>
      <c r="J32" s="446"/>
      <c r="K32" s="446"/>
    </row>
    <row r="33" spans="1:11">
      <c r="A33" s="412"/>
      <c r="B33" s="456" t="s">
        <v>606</v>
      </c>
      <c r="C33" s="349">
        <f>IF(C17=1,C24*C17*(C4+C5+C6+C7+C8+C9),0)</f>
        <v>0</v>
      </c>
      <c r="D33" s="403"/>
      <c r="E33" s="351">
        <f t="shared" si="1"/>
        <v>0</v>
      </c>
      <c r="F33" s="352"/>
      <c r="G33" s="352"/>
      <c r="H33" s="457"/>
      <c r="I33" s="415"/>
      <c r="J33" s="446"/>
      <c r="K33" s="446"/>
    </row>
    <row r="34" spans="1:11">
      <c r="A34" s="412"/>
      <c r="B34" s="456" t="s">
        <v>117</v>
      </c>
      <c r="C34" s="349">
        <f>IF(C17=0,(C22+C23)*2*(C4+C5+C6+C7+C8+C9),0)</f>
        <v>0</v>
      </c>
      <c r="D34" s="403"/>
      <c r="E34" s="351">
        <f t="shared" si="1"/>
        <v>0</v>
      </c>
      <c r="F34" s="352"/>
      <c r="G34" s="352"/>
      <c r="H34" s="457"/>
      <c r="I34" s="415"/>
      <c r="J34" s="446"/>
      <c r="K34" s="446"/>
    </row>
    <row r="35" spans="1:11">
      <c r="A35" s="412"/>
      <c r="B35" s="348" t="s">
        <v>723</v>
      </c>
      <c r="C35" s="349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403"/>
      <c r="E35" s="351">
        <f t="shared" si="1"/>
        <v>0</v>
      </c>
      <c r="F35" s="352"/>
      <c r="G35" s="352"/>
      <c r="H35" s="457"/>
      <c r="I35" s="778"/>
      <c r="J35" s="446"/>
      <c r="K35" s="446"/>
    </row>
    <row r="36" spans="1:11">
      <c r="A36" s="412"/>
      <c r="B36" s="458" t="s">
        <v>479</v>
      </c>
      <c r="C36" s="354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404"/>
      <c r="E36" s="351">
        <f t="shared" si="1"/>
        <v>0</v>
      </c>
      <c r="F36" s="352"/>
      <c r="G36" s="352"/>
      <c r="H36" s="457"/>
      <c r="I36" s="415"/>
      <c r="J36" s="446"/>
      <c r="K36" s="446"/>
    </row>
    <row r="37" spans="1:11">
      <c r="A37" s="412"/>
      <c r="B37" s="458" t="s">
        <v>447</v>
      </c>
      <c r="C37" s="354">
        <f>IF(AND(C21=1,C19=0),(C4+C5+C6+C7+C8+C9)*2,0)</f>
        <v>0</v>
      </c>
      <c r="D37" s="360"/>
      <c r="E37" s="351">
        <f t="shared" si="1"/>
        <v>0</v>
      </c>
      <c r="F37" s="352"/>
      <c r="G37" s="352"/>
      <c r="H37" s="457"/>
      <c r="I37" s="720"/>
      <c r="J37" s="446"/>
      <c r="K37" s="446"/>
    </row>
    <row r="38" spans="1:11">
      <c r="A38" s="412"/>
      <c r="B38" s="458" t="s">
        <v>447</v>
      </c>
      <c r="C38" s="354">
        <f>IF(AND(C21=1,C19=1,C18=1),(C4+C5+C6+C7+C8+C9),0)</f>
        <v>0</v>
      </c>
      <c r="D38" s="360"/>
      <c r="E38" s="351">
        <f>C38*D38</f>
        <v>0</v>
      </c>
      <c r="F38" s="352"/>
      <c r="G38" s="352"/>
      <c r="H38" s="457"/>
      <c r="I38" s="415"/>
      <c r="J38" s="446"/>
      <c r="K38" s="446"/>
    </row>
    <row r="39" spans="1:11">
      <c r="A39" s="412"/>
      <c r="B39" s="458" t="s">
        <v>549</v>
      </c>
      <c r="C39" s="354">
        <f>IF(AND(C21=1,C19=1,C18=1),(C5+C6+C7+C8+C9+C4),0)</f>
        <v>0</v>
      </c>
      <c r="D39" s="360"/>
      <c r="E39" s="351">
        <f t="shared" si="1"/>
        <v>0</v>
      </c>
      <c r="F39" s="352"/>
      <c r="G39" s="352"/>
      <c r="H39" s="457"/>
      <c r="I39" s="415"/>
      <c r="J39" s="446"/>
      <c r="K39" s="446"/>
    </row>
    <row r="40" spans="1:11">
      <c r="A40" s="412"/>
      <c r="B40" s="458" t="s">
        <v>449</v>
      </c>
      <c r="C40" s="354">
        <f>IF(AND(C19=1,C21=2,C18=1),(C4+C5+C6+C7+C8+C9),0)</f>
        <v>0</v>
      </c>
      <c r="D40" s="360"/>
      <c r="E40" s="351">
        <f t="shared" si="1"/>
        <v>0</v>
      </c>
      <c r="F40" s="352"/>
      <c r="G40" s="352"/>
      <c r="H40" s="457"/>
      <c r="I40" s="415"/>
      <c r="J40" s="446"/>
      <c r="K40" s="446"/>
    </row>
    <row r="41" spans="1:11">
      <c r="A41" s="412"/>
      <c r="B41" s="458" t="s">
        <v>550</v>
      </c>
      <c r="C41" s="354">
        <f>IF(C21=3,(C9+C4+C5+C6+C7+C8)*2,0)</f>
        <v>0</v>
      </c>
      <c r="D41" s="360"/>
      <c r="E41" s="351">
        <f t="shared" si="1"/>
        <v>0</v>
      </c>
      <c r="F41" s="352"/>
      <c r="G41" s="352"/>
      <c r="H41" s="457"/>
      <c r="I41" s="415"/>
      <c r="J41" s="446"/>
      <c r="K41" s="446"/>
    </row>
    <row r="42" spans="1:11">
      <c r="A42" s="412"/>
      <c r="B42" s="458" t="s">
        <v>448</v>
      </c>
      <c r="C42" s="354">
        <f>IF(AND(C21=2,C19=0),(C4+C5+C6+C7+C8+C9)*2,0)</f>
        <v>2</v>
      </c>
      <c r="D42" s="360"/>
      <c r="E42" s="351">
        <f t="shared" si="1"/>
        <v>0</v>
      </c>
      <c r="F42" s="352"/>
      <c r="G42" s="352"/>
      <c r="H42" s="457"/>
      <c r="I42" s="720"/>
      <c r="J42" s="446"/>
      <c r="K42" s="446"/>
    </row>
    <row r="43" spans="1:11">
      <c r="A43" s="412"/>
      <c r="B43" s="458" t="s">
        <v>448</v>
      </c>
      <c r="C43" s="354">
        <f>IF(AND(C21=2,C19=1,C18=1),(C5+C6+C7+C8+C9+C4),0)</f>
        <v>0</v>
      </c>
      <c r="D43" s="360"/>
      <c r="E43" s="351">
        <f>C43*D43</f>
        <v>0</v>
      </c>
      <c r="F43" s="352"/>
      <c r="G43" s="352"/>
      <c r="H43" s="457"/>
      <c r="I43" s="415"/>
      <c r="J43" s="446"/>
      <c r="K43" s="446"/>
    </row>
    <row r="44" spans="1:11">
      <c r="A44" s="412"/>
      <c r="B44" s="458" t="s">
        <v>607</v>
      </c>
      <c r="C44" s="354">
        <f>IF(AND(C21=1,C18=0),(C4+C5+C6)*2,0)</f>
        <v>0</v>
      </c>
      <c r="D44" s="360"/>
      <c r="E44" s="351">
        <f t="shared" si="1"/>
        <v>0</v>
      </c>
      <c r="F44" s="352"/>
      <c r="G44" s="352"/>
      <c r="H44" s="457"/>
      <c r="I44" s="415"/>
      <c r="J44" s="446"/>
      <c r="K44" s="446"/>
    </row>
    <row r="45" spans="1:11">
      <c r="A45" s="412"/>
      <c r="B45" s="458" t="s">
        <v>607</v>
      </c>
      <c r="C45" s="354">
        <f>IF(AND(C21=1,C18=1),C5+C6+C4,0)</f>
        <v>0</v>
      </c>
      <c r="D45" s="360"/>
      <c r="E45" s="351">
        <f t="shared" si="1"/>
        <v>0</v>
      </c>
      <c r="F45" s="352"/>
      <c r="G45" s="352"/>
      <c r="H45" s="446"/>
      <c r="I45" s="446"/>
      <c r="J45" s="446"/>
      <c r="K45" s="446"/>
    </row>
    <row r="46" spans="1:11">
      <c r="A46" s="412"/>
      <c r="B46" s="458" t="s">
        <v>608</v>
      </c>
      <c r="C46" s="354">
        <f>IF(AND(C21=1,C18=1),C6+C4+C5,0)</f>
        <v>0</v>
      </c>
      <c r="D46" s="360"/>
      <c r="E46" s="351">
        <f t="shared" si="1"/>
        <v>0</v>
      </c>
      <c r="F46" s="352"/>
      <c r="G46" s="352"/>
      <c r="H46" s="446"/>
      <c r="I46" s="446"/>
      <c r="J46" s="446"/>
      <c r="K46" s="446"/>
    </row>
    <row r="47" spans="1:11">
      <c r="A47" s="412"/>
      <c r="B47" s="456" t="s">
        <v>609</v>
      </c>
      <c r="C47" s="357">
        <f>IF(AND(C21=1,C18=0),(C7+C8+C9)*2,0)</f>
        <v>0</v>
      </c>
      <c r="D47" s="405"/>
      <c r="E47" s="351">
        <f t="shared" si="1"/>
        <v>0</v>
      </c>
      <c r="F47" s="352"/>
      <c r="G47" s="352"/>
      <c r="H47" s="446"/>
      <c r="I47" s="446"/>
      <c r="J47" s="446"/>
      <c r="K47" s="446"/>
    </row>
    <row r="48" spans="1:11">
      <c r="A48" s="412"/>
      <c r="B48" s="456" t="s">
        <v>610</v>
      </c>
      <c r="C48" s="357">
        <f>IF(AND(C21=1,C21=2),C8+C9+C7,0)</f>
        <v>0</v>
      </c>
      <c r="D48" s="405"/>
      <c r="E48" s="351">
        <f t="shared" si="1"/>
        <v>0</v>
      </c>
      <c r="F48" s="352"/>
      <c r="G48" s="352"/>
      <c r="H48" s="446"/>
      <c r="I48" s="446"/>
      <c r="J48" s="446"/>
      <c r="K48" s="446"/>
    </row>
    <row r="49" spans="1:11">
      <c r="A49" s="412"/>
      <c r="B49" s="456" t="s">
        <v>611</v>
      </c>
      <c r="C49" s="357">
        <f>IF(AND(C21=1,C18=1),C9+C7+C8,0)</f>
        <v>0</v>
      </c>
      <c r="D49" s="405"/>
      <c r="E49" s="351">
        <f t="shared" si="1"/>
        <v>0</v>
      </c>
      <c r="F49" s="352"/>
      <c r="G49" s="352"/>
      <c r="H49" s="446"/>
      <c r="I49" s="446"/>
      <c r="J49" s="446"/>
      <c r="K49" s="446"/>
    </row>
    <row r="50" spans="1:11">
      <c r="A50" s="412"/>
      <c r="B50" s="456" t="s">
        <v>611</v>
      </c>
      <c r="C50" s="357">
        <f>IF(AND(C21=2,C18=1),C4+C5+C6,0)</f>
        <v>1</v>
      </c>
      <c r="D50" s="405"/>
      <c r="E50" s="351">
        <f t="shared" si="1"/>
        <v>0</v>
      </c>
      <c r="F50" s="352"/>
      <c r="G50" s="352"/>
      <c r="H50" s="446"/>
      <c r="I50" s="446"/>
      <c r="J50" s="446"/>
      <c r="K50" s="446"/>
    </row>
    <row r="51" spans="1:11">
      <c r="A51" s="412"/>
      <c r="B51" s="456" t="s">
        <v>609</v>
      </c>
      <c r="C51" s="357">
        <f>IF(AND(C21=2,C18=1),C4+C5+C6,0)</f>
        <v>1</v>
      </c>
      <c r="D51" s="405"/>
      <c r="E51" s="351">
        <f t="shared" si="1"/>
        <v>0</v>
      </c>
      <c r="F51" s="352"/>
      <c r="G51" s="352"/>
      <c r="H51" s="446"/>
      <c r="I51" s="446"/>
      <c r="J51" s="446"/>
      <c r="K51" s="446"/>
    </row>
    <row r="52" spans="1:11">
      <c r="A52" s="412"/>
      <c r="B52" s="456" t="s">
        <v>609</v>
      </c>
      <c r="C52" s="357">
        <f>IF(AND(C21=2,C18=0),(C4+C5+C6)*2,0)</f>
        <v>0</v>
      </c>
      <c r="D52" s="405"/>
      <c r="E52" s="351">
        <f t="shared" si="1"/>
        <v>0</v>
      </c>
      <c r="F52" s="352"/>
      <c r="G52" s="352"/>
      <c r="H52" s="446"/>
      <c r="I52" s="446"/>
      <c r="J52" s="446"/>
      <c r="K52" s="446"/>
    </row>
    <row r="53" spans="1:11">
      <c r="A53" s="412"/>
      <c r="B53" s="458" t="s">
        <v>612</v>
      </c>
      <c r="C53" s="357">
        <f>IF(AND(C21=2,C18=1),(C7+C8+C9),0)</f>
        <v>0</v>
      </c>
      <c r="D53" s="405"/>
      <c r="E53" s="351">
        <f t="shared" si="1"/>
        <v>0</v>
      </c>
      <c r="F53" s="352"/>
      <c r="G53" s="352"/>
      <c r="H53" s="446"/>
      <c r="I53" s="446"/>
      <c r="J53" s="446"/>
      <c r="K53" s="446"/>
    </row>
    <row r="54" spans="1:11">
      <c r="A54" s="412"/>
      <c r="B54" s="458" t="s">
        <v>613</v>
      </c>
      <c r="C54" s="357">
        <f>IF(AND(C21=2,C18=1),(C7+C8+C9),0)</f>
        <v>0</v>
      </c>
      <c r="D54" s="405"/>
      <c r="E54" s="351">
        <f t="shared" si="1"/>
        <v>0</v>
      </c>
      <c r="F54" s="352"/>
      <c r="G54" s="352"/>
      <c r="H54" s="446"/>
      <c r="I54" s="446"/>
      <c r="J54" s="446"/>
      <c r="K54" s="446"/>
    </row>
    <row r="55" spans="1:11">
      <c r="A55" s="412"/>
      <c r="B55" s="458" t="s">
        <v>614</v>
      </c>
      <c r="C55" s="354">
        <f>IF(AND(C21=2,C18=0),(C7+C8+C9)*2,0)</f>
        <v>0</v>
      </c>
      <c r="D55" s="360"/>
      <c r="E55" s="351">
        <f t="shared" si="1"/>
        <v>0</v>
      </c>
      <c r="F55" s="352"/>
      <c r="G55" s="352"/>
      <c r="H55" s="446"/>
      <c r="I55" s="446"/>
      <c r="J55" s="446"/>
      <c r="K55" s="446"/>
    </row>
    <row r="56" spans="1:11">
      <c r="A56" s="412"/>
      <c r="B56" s="458" t="s">
        <v>615</v>
      </c>
      <c r="C56" s="354">
        <f>IF(AND(C21=3,C18=0),(C4+C5+C6)*2,0)</f>
        <v>0</v>
      </c>
      <c r="D56" s="360"/>
      <c r="E56" s="351">
        <f t="shared" si="1"/>
        <v>0</v>
      </c>
      <c r="F56" s="352"/>
      <c r="G56" s="352"/>
      <c r="H56" s="446"/>
      <c r="I56" s="446"/>
      <c r="J56" s="446"/>
      <c r="K56" s="446"/>
    </row>
    <row r="57" spans="1:11">
      <c r="A57" s="412"/>
      <c r="B57" s="456" t="s">
        <v>474</v>
      </c>
      <c r="C57" s="349">
        <f>(C5+C8+C25)*C2</f>
        <v>0</v>
      </c>
      <c r="D57" s="403"/>
      <c r="E57" s="351">
        <f t="shared" si="1"/>
        <v>0</v>
      </c>
      <c r="F57" s="352"/>
      <c r="G57" s="352"/>
      <c r="H57" s="446"/>
      <c r="I57" s="446"/>
      <c r="J57" s="446"/>
      <c r="K57" s="446"/>
    </row>
    <row r="58" spans="1:11">
      <c r="A58" s="412"/>
      <c r="B58" s="458" t="s">
        <v>363</v>
      </c>
      <c r="C58" s="354">
        <f>C23*2*C2</f>
        <v>0</v>
      </c>
      <c r="D58" s="360"/>
      <c r="E58" s="351">
        <f t="shared" si="1"/>
        <v>0</v>
      </c>
      <c r="F58" s="352"/>
      <c r="G58" s="352"/>
      <c r="H58" s="446"/>
      <c r="I58" s="446"/>
      <c r="J58" s="446"/>
      <c r="K58" s="446"/>
    </row>
    <row r="59" spans="1:11">
      <c r="A59" s="412"/>
      <c r="B59" s="458" t="s">
        <v>118</v>
      </c>
      <c r="C59" s="354">
        <f>C2*(C22+C24)</f>
        <v>0</v>
      </c>
      <c r="D59" s="360"/>
      <c r="E59" s="351">
        <f t="shared" si="1"/>
        <v>0</v>
      </c>
      <c r="F59" s="352"/>
      <c r="G59" s="352"/>
      <c r="H59" s="446"/>
      <c r="I59" s="446"/>
      <c r="J59" s="446"/>
      <c r="K59" s="446"/>
    </row>
    <row r="60" spans="1:11">
      <c r="A60" s="412"/>
      <c r="B60" s="458" t="s">
        <v>480</v>
      </c>
      <c r="C60" s="354">
        <f>(C4+C6+C7+C9)*C2</f>
        <v>1</v>
      </c>
      <c r="D60" s="360"/>
      <c r="E60" s="351">
        <f t="shared" si="1"/>
        <v>0</v>
      </c>
      <c r="F60" s="352"/>
      <c r="G60" s="352"/>
      <c r="H60" s="446"/>
      <c r="I60" s="446"/>
      <c r="J60" s="446"/>
      <c r="K60" s="446"/>
    </row>
    <row r="61" spans="1:11">
      <c r="A61" s="412"/>
      <c r="B61" s="458" t="s">
        <v>616</v>
      </c>
      <c r="C61" s="354">
        <f>C24*C2*(C4+C5+C6+C7+C8+C9)</f>
        <v>0</v>
      </c>
      <c r="D61" s="360"/>
      <c r="E61" s="351">
        <f t="shared" si="1"/>
        <v>0</v>
      </c>
      <c r="F61" s="352"/>
      <c r="G61" s="352"/>
      <c r="H61" s="446"/>
      <c r="I61" s="446"/>
      <c r="J61" s="446"/>
      <c r="K61" s="446"/>
    </row>
    <row r="62" spans="1:11">
      <c r="A62" s="412"/>
      <c r="B62" s="458" t="s">
        <v>467</v>
      </c>
      <c r="C62" s="354">
        <f>C25*C2*(C4+C5+C6+C7+C8+C9)</f>
        <v>0</v>
      </c>
      <c r="D62" s="360"/>
      <c r="E62" s="351">
        <f t="shared" si="1"/>
        <v>0</v>
      </c>
      <c r="F62" s="352"/>
      <c r="G62" s="352"/>
      <c r="H62" s="446"/>
      <c r="I62" s="446"/>
      <c r="J62" s="446"/>
      <c r="K62" s="446"/>
    </row>
    <row r="63" spans="1:11">
      <c r="A63" s="412"/>
      <c r="B63" s="458" t="s">
        <v>364</v>
      </c>
      <c r="C63" s="354">
        <f>C22*C2*(C4+C5+C6+C7+C8+C9)</f>
        <v>0</v>
      </c>
      <c r="D63" s="360"/>
      <c r="E63" s="351">
        <f t="shared" si="1"/>
        <v>0</v>
      </c>
      <c r="F63" s="352"/>
      <c r="G63" s="352"/>
      <c r="H63" s="446"/>
      <c r="I63" s="446"/>
      <c r="J63" s="446"/>
      <c r="K63" s="446"/>
    </row>
    <row r="64" spans="1:11">
      <c r="A64" s="412"/>
      <c r="B64" s="458" t="s">
        <v>365</v>
      </c>
      <c r="C64" s="354">
        <f>C23*C2*(C4+C5+C6+C7+C8+C9)</f>
        <v>0</v>
      </c>
      <c r="D64" s="360"/>
      <c r="E64" s="351">
        <f t="shared" si="1"/>
        <v>0</v>
      </c>
      <c r="F64" s="352"/>
      <c r="G64" s="352"/>
      <c r="H64" s="446"/>
      <c r="I64" s="446"/>
      <c r="J64" s="446"/>
      <c r="K64" s="446"/>
    </row>
    <row r="65" spans="1:11">
      <c r="A65" s="412"/>
      <c r="B65" s="456" t="s">
        <v>450</v>
      </c>
      <c r="C65" s="349">
        <f>C2*(C6+C9)</f>
        <v>0</v>
      </c>
      <c r="D65" s="403"/>
      <c r="E65" s="351">
        <f t="shared" si="1"/>
        <v>0</v>
      </c>
      <c r="F65" s="352"/>
      <c r="G65" s="352"/>
      <c r="H65" s="446"/>
      <c r="I65" s="446"/>
      <c r="J65" s="446"/>
      <c r="K65" s="446"/>
    </row>
    <row r="66" spans="1:11">
      <c r="A66" s="412"/>
      <c r="B66" s="456" t="s">
        <v>525</v>
      </c>
      <c r="C66" s="349">
        <f>C2*(C7+C4)</f>
        <v>1</v>
      </c>
      <c r="D66" s="403"/>
      <c r="E66" s="351">
        <f t="shared" si="1"/>
        <v>0</v>
      </c>
      <c r="F66" s="352"/>
      <c r="G66" s="352"/>
      <c r="H66" s="446"/>
      <c r="I66" s="446"/>
      <c r="J66" s="446"/>
      <c r="K66" s="446"/>
    </row>
    <row r="67" spans="1:11">
      <c r="A67" s="412"/>
      <c r="B67" s="456" t="s">
        <v>451</v>
      </c>
      <c r="C67" s="349">
        <f>C2*(C5+C8)</f>
        <v>0</v>
      </c>
      <c r="D67" s="403"/>
      <c r="E67" s="351">
        <f t="shared" si="1"/>
        <v>0</v>
      </c>
      <c r="F67" s="352"/>
      <c r="G67" s="352"/>
      <c r="H67" s="446"/>
      <c r="I67" s="446"/>
      <c r="J67" s="446"/>
      <c r="K67" s="446"/>
    </row>
    <row r="68" spans="1:11">
      <c r="A68" s="412"/>
      <c r="B68" s="456" t="s">
        <v>617</v>
      </c>
      <c r="C68" s="349">
        <f>(C7+C8+C9)*C2</f>
        <v>0</v>
      </c>
      <c r="D68" s="403"/>
      <c r="E68" s="351">
        <f t="shared" si="1"/>
        <v>0</v>
      </c>
      <c r="F68" s="352"/>
      <c r="G68" s="352"/>
      <c r="H68" s="446"/>
      <c r="I68" s="446"/>
      <c r="J68" s="446"/>
      <c r="K68" s="446"/>
    </row>
    <row r="69" spans="1:11">
      <c r="A69" s="412"/>
      <c r="B69" s="458" t="s">
        <v>618</v>
      </c>
      <c r="C69" s="354">
        <f>IF(C21=2,C18,0)</f>
        <v>1</v>
      </c>
      <c r="D69" s="360"/>
      <c r="E69" s="351">
        <f t="shared" si="1"/>
        <v>0</v>
      </c>
      <c r="F69" s="352"/>
      <c r="G69" s="352"/>
      <c r="H69" s="446"/>
      <c r="I69" s="446"/>
      <c r="J69" s="446"/>
      <c r="K69" s="446"/>
    </row>
    <row r="70" spans="1:11">
      <c r="A70" s="412"/>
      <c r="B70" s="458" t="s">
        <v>471</v>
      </c>
      <c r="C70" s="354">
        <f>C6+C9</f>
        <v>0</v>
      </c>
      <c r="D70" s="360"/>
      <c r="E70" s="351">
        <f t="shared" si="1"/>
        <v>0</v>
      </c>
      <c r="F70" s="352"/>
      <c r="G70" s="352"/>
      <c r="H70" s="446"/>
      <c r="I70" s="446"/>
      <c r="J70" s="446"/>
      <c r="K70" s="446"/>
    </row>
    <row r="71" spans="1:11">
      <c r="A71" s="412"/>
      <c r="B71" s="458" t="s">
        <v>367</v>
      </c>
      <c r="C71" s="354">
        <f>C5+C8</f>
        <v>0</v>
      </c>
      <c r="D71" s="360"/>
      <c r="E71" s="351">
        <f t="shared" si="1"/>
        <v>0</v>
      </c>
      <c r="F71" s="352"/>
      <c r="G71" s="352"/>
      <c r="H71" s="446"/>
      <c r="I71" s="446"/>
      <c r="J71" s="446"/>
      <c r="K71" s="446"/>
    </row>
    <row r="72" spans="1:11">
      <c r="A72" s="412"/>
      <c r="B72" s="458" t="s">
        <v>368</v>
      </c>
      <c r="C72" s="354">
        <f>(C7+C8+C9)*4</f>
        <v>0</v>
      </c>
      <c r="D72" s="360"/>
      <c r="E72" s="351">
        <f t="shared" si="1"/>
        <v>0</v>
      </c>
      <c r="F72" s="352"/>
      <c r="G72" s="352"/>
      <c r="H72" s="446"/>
      <c r="I72" s="446"/>
      <c r="J72" s="446"/>
      <c r="K72" s="446"/>
    </row>
    <row r="73" spans="1:11">
      <c r="A73" s="412"/>
      <c r="B73" s="458" t="s">
        <v>369</v>
      </c>
      <c r="C73" s="354">
        <f>C17*((C3*2)+C2+0.3)</f>
        <v>0</v>
      </c>
      <c r="D73" s="360"/>
      <c r="E73" s="351">
        <f t="shared" si="1"/>
        <v>0</v>
      </c>
      <c r="F73" s="352"/>
      <c r="G73" s="352"/>
      <c r="H73" s="446"/>
      <c r="I73" s="446"/>
      <c r="J73" s="446"/>
      <c r="K73" s="446"/>
    </row>
    <row r="74" spans="1:11">
      <c r="A74" s="412"/>
      <c r="B74" s="458" t="s">
        <v>526</v>
      </c>
      <c r="C74" s="354">
        <f>IF(C19=0,C17*2,0)</f>
        <v>0</v>
      </c>
      <c r="D74" s="360"/>
      <c r="E74" s="351">
        <f t="shared" si="1"/>
        <v>0</v>
      </c>
      <c r="F74" s="352"/>
      <c r="G74" s="352"/>
      <c r="H74" s="446"/>
      <c r="I74" s="446"/>
      <c r="J74" s="446"/>
      <c r="K74" s="446"/>
    </row>
    <row r="75" spans="1:11">
      <c r="A75" s="412"/>
      <c r="B75" s="458" t="s">
        <v>527</v>
      </c>
      <c r="C75" s="354">
        <f>IF(C19=1,C17*2,0)</f>
        <v>0</v>
      </c>
      <c r="D75" s="360"/>
      <c r="E75" s="351">
        <f t="shared" si="1"/>
        <v>0</v>
      </c>
      <c r="F75" s="352"/>
      <c r="G75" s="352"/>
      <c r="H75" s="446"/>
      <c r="I75" s="446"/>
      <c r="J75" s="446"/>
      <c r="K75" s="446"/>
    </row>
    <row r="76" spans="1:11">
      <c r="A76" s="412"/>
      <c r="B76" s="458" t="s">
        <v>371</v>
      </c>
      <c r="C76" s="354">
        <f>C17*2</f>
        <v>0</v>
      </c>
      <c r="D76" s="360"/>
      <c r="E76" s="351">
        <f t="shared" si="1"/>
        <v>0</v>
      </c>
      <c r="F76" s="352"/>
      <c r="G76" s="352"/>
      <c r="H76" s="446"/>
      <c r="I76" s="446"/>
      <c r="J76" s="446"/>
      <c r="K76" s="446"/>
    </row>
    <row r="77" spans="1:11">
      <c r="A77" s="412"/>
      <c r="B77" s="458" t="s">
        <v>452</v>
      </c>
      <c r="C77" s="354">
        <f>C17*2</f>
        <v>0</v>
      </c>
      <c r="D77" s="360"/>
      <c r="E77" s="351">
        <f t="shared" si="1"/>
        <v>0</v>
      </c>
      <c r="F77" s="352"/>
      <c r="G77" s="352"/>
      <c r="H77" s="446"/>
      <c r="I77" s="446"/>
      <c r="J77" s="446"/>
      <c r="K77" s="446"/>
    </row>
    <row r="78" spans="1:11">
      <c r="A78" s="412"/>
      <c r="B78" s="458" t="s">
        <v>453</v>
      </c>
      <c r="C78" s="354">
        <f>C17*2</f>
        <v>0</v>
      </c>
      <c r="D78" s="360"/>
      <c r="E78" s="351">
        <f t="shared" si="1"/>
        <v>0</v>
      </c>
      <c r="F78" s="352"/>
      <c r="G78" s="352"/>
      <c r="H78" s="446"/>
      <c r="I78" s="446"/>
      <c r="J78" s="446"/>
      <c r="K78" s="446"/>
    </row>
    <row r="79" spans="1:11">
      <c r="A79" s="412"/>
      <c r="B79" s="458" t="s">
        <v>828</v>
      </c>
      <c r="C79" s="354">
        <f>IF(C18=0,C4+C5+C6+C7+C8+C9,0)</f>
        <v>0</v>
      </c>
      <c r="D79" s="360"/>
      <c r="E79" s="351">
        <f t="shared" si="1"/>
        <v>0</v>
      </c>
      <c r="F79" s="352"/>
      <c r="G79" s="352"/>
      <c r="H79" s="446"/>
      <c r="I79" s="446"/>
      <c r="J79" s="446"/>
      <c r="K79" s="446"/>
    </row>
    <row r="80" spans="1:11">
      <c r="A80" s="412"/>
      <c r="B80" s="458" t="s">
        <v>336</v>
      </c>
      <c r="C80" s="354">
        <f>C17</f>
        <v>0</v>
      </c>
      <c r="D80" s="360"/>
      <c r="E80" s="351">
        <f t="shared" si="1"/>
        <v>0</v>
      </c>
      <c r="F80" s="352"/>
      <c r="G80" s="352"/>
      <c r="H80" s="446"/>
      <c r="I80" s="446"/>
      <c r="J80" s="446"/>
      <c r="K80" s="446"/>
    </row>
    <row r="81" spans="1:11">
      <c r="A81" s="412"/>
      <c r="B81" s="459" t="s">
        <v>454</v>
      </c>
      <c r="C81" s="406">
        <f>C4+C5+C7+C8</f>
        <v>1</v>
      </c>
      <c r="D81" s="360"/>
      <c r="E81" s="407">
        <f t="shared" si="1"/>
        <v>0</v>
      </c>
      <c r="F81" s="352"/>
      <c r="G81" s="352"/>
      <c r="H81" s="460"/>
      <c r="I81" s="460"/>
      <c r="J81" s="446"/>
      <c r="K81" s="446"/>
    </row>
    <row r="82" spans="1:11">
      <c r="A82" s="412"/>
      <c r="B82" s="459" t="s">
        <v>375</v>
      </c>
      <c r="C82" s="406">
        <f>(C10+C11)*(C4+C5+C7+C8)</f>
        <v>1</v>
      </c>
      <c r="D82" s="360"/>
      <c r="E82" s="407">
        <f t="shared" si="1"/>
        <v>0</v>
      </c>
      <c r="F82" s="352"/>
      <c r="G82" s="352"/>
      <c r="H82" s="446"/>
      <c r="I82" s="446"/>
      <c r="J82" s="446"/>
      <c r="K82" s="446"/>
    </row>
    <row r="83" spans="1:11">
      <c r="A83" s="412"/>
      <c r="B83" s="459" t="s">
        <v>495</v>
      </c>
      <c r="C83" s="406">
        <f>C11*(C5+C8)</f>
        <v>0</v>
      </c>
      <c r="D83" s="360"/>
      <c r="E83" s="407">
        <f t="shared" si="1"/>
        <v>0</v>
      </c>
      <c r="F83" s="352"/>
      <c r="G83" s="352"/>
      <c r="H83" s="446"/>
      <c r="I83" s="446"/>
      <c r="J83" s="446"/>
      <c r="K83" s="446"/>
    </row>
    <row r="84" spans="1:11">
      <c r="A84" s="412"/>
      <c r="B84" s="459" t="s">
        <v>377</v>
      </c>
      <c r="C84" s="406">
        <f>C12*(C6+C9)</f>
        <v>0</v>
      </c>
      <c r="D84" s="360"/>
      <c r="E84" s="407">
        <f t="shared" si="1"/>
        <v>0</v>
      </c>
      <c r="F84" s="352"/>
      <c r="G84" s="352"/>
      <c r="H84" s="446"/>
      <c r="I84" s="446"/>
      <c r="J84" s="446"/>
      <c r="K84" s="446"/>
    </row>
    <row r="85" spans="1:11">
      <c r="A85" s="412"/>
      <c r="B85" s="459" t="s">
        <v>378</v>
      </c>
      <c r="C85" s="406">
        <f>C12*(C6+C9)</f>
        <v>0</v>
      </c>
      <c r="D85" s="360"/>
      <c r="E85" s="407">
        <f t="shared" si="1"/>
        <v>0</v>
      </c>
      <c r="F85" s="352"/>
      <c r="G85" s="352"/>
      <c r="H85" s="446"/>
      <c r="I85" s="446"/>
      <c r="J85" s="446"/>
      <c r="K85" s="446"/>
    </row>
    <row r="86" spans="1:11" hidden="1">
      <c r="A86" s="412"/>
      <c r="B86" s="459" t="s">
        <v>528</v>
      </c>
      <c r="C86" s="406">
        <f>C4+C7</f>
        <v>1</v>
      </c>
      <c r="D86" s="360"/>
      <c r="E86" s="407">
        <f t="shared" si="1"/>
        <v>0</v>
      </c>
      <c r="F86" s="352"/>
      <c r="G86" s="352"/>
      <c r="H86" s="446"/>
      <c r="I86" s="446"/>
      <c r="J86" s="446"/>
      <c r="K86" s="446"/>
    </row>
    <row r="87" spans="1:11">
      <c r="A87" s="412"/>
      <c r="B87" s="459" t="s">
        <v>380</v>
      </c>
      <c r="C87" s="406">
        <f>C14*(C8+C5)</f>
        <v>0</v>
      </c>
      <c r="D87" s="360"/>
      <c r="E87" s="407">
        <f t="shared" si="1"/>
        <v>0</v>
      </c>
      <c r="F87" s="352"/>
      <c r="G87" s="352"/>
      <c r="H87" s="446"/>
      <c r="I87" s="446"/>
      <c r="J87" s="446"/>
      <c r="K87" s="446"/>
    </row>
    <row r="88" spans="1:11" ht="11.25" customHeight="1">
      <c r="A88" s="412"/>
      <c r="B88" s="459" t="s">
        <v>529</v>
      </c>
      <c r="C88" s="406">
        <f>(C14+C13)*(C4+C5+C7+C8)</f>
        <v>1</v>
      </c>
      <c r="D88" s="360"/>
      <c r="E88" s="407">
        <f t="shared" si="1"/>
        <v>0</v>
      </c>
      <c r="F88" s="352"/>
      <c r="G88" s="352"/>
      <c r="H88" s="446"/>
      <c r="I88" s="446"/>
      <c r="J88" s="446"/>
      <c r="K88" s="446"/>
    </row>
    <row r="89" spans="1:11" ht="11.25" customHeight="1">
      <c r="A89" s="412"/>
      <c r="B89" s="459" t="s">
        <v>386</v>
      </c>
      <c r="C89" s="406">
        <f>C15*(C6+C9)</f>
        <v>0</v>
      </c>
      <c r="D89" s="408"/>
      <c r="E89" s="407">
        <f t="shared" si="1"/>
        <v>0</v>
      </c>
      <c r="F89" s="352"/>
      <c r="G89" s="352"/>
      <c r="H89" s="446"/>
      <c r="I89" s="446"/>
      <c r="J89" s="446"/>
      <c r="K89" s="446"/>
    </row>
    <row r="90" spans="1:11" ht="11.25" customHeight="1">
      <c r="A90" s="412"/>
      <c r="B90" s="154" t="s">
        <v>145</v>
      </c>
      <c r="C90" s="406">
        <f>C27</f>
        <v>0</v>
      </c>
      <c r="D90" s="728"/>
      <c r="E90" s="407">
        <f t="shared" si="1"/>
        <v>0</v>
      </c>
      <c r="F90" s="352"/>
      <c r="G90" s="352"/>
      <c r="H90" s="446"/>
      <c r="I90" s="446"/>
      <c r="J90" s="446"/>
      <c r="K90" s="446"/>
    </row>
    <row r="91" spans="1:11" ht="11.25" customHeight="1">
      <c r="A91" s="412"/>
      <c r="B91" s="154" t="s">
        <v>148</v>
      </c>
      <c r="C91" s="406">
        <f>C26</f>
        <v>0</v>
      </c>
      <c r="D91" s="728"/>
      <c r="E91" s="407">
        <f t="shared" si="1"/>
        <v>0</v>
      </c>
      <c r="F91" s="352"/>
      <c r="G91" s="352"/>
      <c r="H91" s="446"/>
      <c r="I91" s="446"/>
      <c r="J91" s="446"/>
      <c r="K91" s="446"/>
    </row>
    <row r="92" spans="1:11" ht="11.25" customHeight="1">
      <c r="A92" s="412"/>
      <c r="B92" s="23" t="s">
        <v>689</v>
      </c>
      <c r="C92" s="406">
        <f>C28</f>
        <v>0</v>
      </c>
      <c r="D92" s="728"/>
      <c r="E92" s="407">
        <f t="shared" si="1"/>
        <v>0</v>
      </c>
      <c r="F92" s="352"/>
      <c r="G92" s="352"/>
      <c r="H92" s="446"/>
      <c r="I92" s="446"/>
      <c r="J92" s="446"/>
      <c r="K92" s="446"/>
    </row>
    <row r="93" spans="1:11" ht="11.25" customHeight="1" thickBot="1">
      <c r="A93" s="412"/>
      <c r="B93" s="729" t="s">
        <v>387</v>
      </c>
      <c r="C93" s="409">
        <f>C15*(C6+C9)</f>
        <v>0</v>
      </c>
      <c r="D93" s="410"/>
      <c r="E93" s="411">
        <f t="shared" si="1"/>
        <v>0</v>
      </c>
      <c r="F93" s="352"/>
      <c r="G93" s="464"/>
      <c r="H93" s="446"/>
      <c r="I93" s="446"/>
      <c r="J93" s="446"/>
      <c r="K93" s="446"/>
    </row>
    <row r="94" spans="1:11" ht="11.25" customHeight="1" thickBot="1">
      <c r="A94" s="412"/>
      <c r="B94" s="446"/>
      <c r="C94" s="446"/>
      <c r="D94" s="462" t="s">
        <v>9</v>
      </c>
      <c r="E94" s="463">
        <f>SUMIF(E31:E93,"&gt;0",E31:E93)</f>
        <v>0</v>
      </c>
      <c r="F94" s="464"/>
      <c r="G94" s="446"/>
      <c r="H94" s="446"/>
      <c r="I94" s="446"/>
      <c r="J94" s="446"/>
      <c r="K94" s="446"/>
    </row>
    <row r="95" spans="1:11" ht="11.25" customHeight="1">
      <c r="A95" s="412"/>
      <c r="B95" s="446"/>
      <c r="C95" s="446"/>
      <c r="D95" s="446"/>
      <c r="E95" s="446"/>
      <c r="F95" s="446"/>
      <c r="G95" s="446"/>
      <c r="H95" s="446"/>
      <c r="I95" s="446"/>
      <c r="J95" s="446"/>
      <c r="K95" s="448"/>
    </row>
    <row r="96" spans="1:11" ht="11.25" customHeight="1">
      <c r="A96" s="412"/>
      <c r="B96" s="446"/>
      <c r="C96" s="446"/>
      <c r="D96" s="446"/>
      <c r="E96" s="446"/>
      <c r="F96" s="446"/>
      <c r="G96" s="446"/>
      <c r="H96" s="446"/>
      <c r="I96" s="446"/>
      <c r="J96" s="446"/>
      <c r="K96" s="446"/>
    </row>
    <row r="97" spans="1:11" ht="11.25" customHeight="1">
      <c r="A97" s="412"/>
      <c r="B97" s="446"/>
      <c r="C97" s="446"/>
      <c r="D97" s="446"/>
      <c r="E97" s="446"/>
      <c r="F97" s="446"/>
      <c r="G97" s="412"/>
      <c r="H97" s="412"/>
      <c r="I97" s="412"/>
      <c r="J97" s="412"/>
      <c r="K97" s="412"/>
    </row>
    <row r="98" spans="1:11" ht="11.25" customHeight="1">
      <c r="A98" s="412"/>
      <c r="B98" s="412"/>
      <c r="C98" s="412"/>
      <c r="D98" s="412"/>
      <c r="E98" s="412"/>
      <c r="F98" s="412"/>
      <c r="G98" s="412"/>
      <c r="H98" s="412"/>
      <c r="I98" s="412"/>
      <c r="J98" s="412"/>
      <c r="K98" s="412"/>
    </row>
    <row r="99" spans="1:11" ht="11.25" customHeight="1">
      <c r="A99" s="412"/>
      <c r="B99" s="412"/>
      <c r="C99" s="412"/>
      <c r="D99" s="412"/>
      <c r="E99" s="412"/>
      <c r="F99" s="412"/>
      <c r="G99" s="412"/>
      <c r="H99" s="412"/>
      <c r="I99" s="412"/>
      <c r="J99" s="412"/>
      <c r="K99" s="412"/>
    </row>
    <row r="100" spans="1:11" ht="11.25" customHeight="1">
      <c r="A100" s="412"/>
      <c r="B100" s="412"/>
      <c r="C100" s="412"/>
      <c r="D100" s="412"/>
      <c r="E100" s="412"/>
      <c r="F100" s="412"/>
      <c r="G100" s="412"/>
      <c r="H100" s="412"/>
      <c r="I100" s="412"/>
      <c r="J100" s="412"/>
      <c r="K100" s="412"/>
    </row>
    <row r="101" spans="1:11" ht="11.25" customHeight="1">
      <c r="A101" s="412"/>
      <c r="B101" s="412"/>
      <c r="C101" s="412"/>
      <c r="D101" s="412"/>
      <c r="E101" s="412"/>
      <c r="F101" s="412"/>
      <c r="G101" s="412"/>
      <c r="H101" s="412"/>
      <c r="I101" s="412"/>
      <c r="J101" s="412"/>
      <c r="K101" s="412"/>
    </row>
    <row r="102" spans="1:11" ht="11.25" customHeight="1">
      <c r="A102" s="412"/>
      <c r="B102" s="412"/>
      <c r="C102" s="412"/>
      <c r="D102" s="412"/>
      <c r="E102" s="412"/>
      <c r="F102" s="412"/>
      <c r="G102" s="412"/>
      <c r="H102" s="412"/>
      <c r="I102" s="412"/>
      <c r="J102" s="412"/>
      <c r="K102" s="412"/>
    </row>
    <row r="103" spans="1:11" ht="11.25" customHeight="1">
      <c r="A103" s="412"/>
      <c r="B103" s="412"/>
      <c r="C103" s="412"/>
      <c r="D103" s="412"/>
      <c r="E103" s="412"/>
      <c r="F103" s="412"/>
      <c r="G103" s="412"/>
      <c r="H103" s="412"/>
      <c r="I103" s="412"/>
      <c r="J103" s="412"/>
      <c r="K103" s="412"/>
    </row>
    <row r="104" spans="1:11" ht="11.25" customHeight="1">
      <c r="A104" s="412"/>
      <c r="B104" s="412"/>
      <c r="C104" s="412"/>
      <c r="D104" s="412"/>
      <c r="E104" s="412"/>
      <c r="F104" s="412"/>
      <c r="G104" s="412"/>
      <c r="H104" s="412"/>
      <c r="I104" s="412"/>
      <c r="J104" s="412"/>
      <c r="K104" s="412"/>
    </row>
    <row r="105" spans="1:11" ht="10.5" customHeight="1">
      <c r="B105" s="412"/>
      <c r="C105" s="412"/>
      <c r="D105" s="412"/>
      <c r="E105" s="412"/>
      <c r="F105" s="412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j2DH4d+K89W1Fh8XmU303btZo8NIyyAwxu7jmP8MKkB1fajE77HYYf2favZJsdVgMjgvALPVuzZaNE2XtGMENw==" saltValue="aobv6OIbSCh9Yq0b7f2hYQ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482" priority="17" operator="equal">
      <formula>"ДА"</formula>
    </cfRule>
    <cfRule type="cellIs" dxfId="481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480" priority="10" operator="greaterThan">
      <formula>0</formula>
    </cfRule>
  </conditionalFormatting>
  <conditionalFormatting sqref="E94">
    <cfRule type="cellIs" dxfId="479" priority="8" operator="greaterThan">
      <formula>0</formula>
    </cfRule>
    <cfRule type="cellIs" dxfId="478" priority="9" operator="greaterThan">
      <formula>0</formula>
    </cfRule>
  </conditionalFormatting>
  <conditionalFormatting sqref="J3:K21">
    <cfRule type="cellIs" dxfId="477" priority="7" operator="greaterThan">
      <formula>0</formula>
    </cfRule>
  </conditionalFormatting>
  <conditionalFormatting sqref="C2:C19 C21:C28">
    <cfRule type="cellIs" dxfId="476" priority="6" operator="greaterThan">
      <formula>0</formula>
    </cfRule>
  </conditionalFormatting>
  <conditionalFormatting sqref="K3:K21">
    <cfRule type="cellIs" dxfId="475" priority="5" operator="greaterThan">
      <formula>0</formula>
    </cfRule>
  </conditionalFormatting>
  <conditionalFormatting sqref="C38:E38">
    <cfRule type="cellIs" dxfId="474" priority="4" operator="greaterThan">
      <formula>0</formula>
    </cfRule>
  </conditionalFormatting>
  <conditionalFormatting sqref="C43:E43">
    <cfRule type="cellIs" dxfId="473" priority="3" operator="greaterThan">
      <formula>0</formula>
    </cfRule>
  </conditionalFormatting>
  <conditionalFormatting sqref="C90:C92">
    <cfRule type="cellIs" dxfId="472" priority="2" operator="greaterThan">
      <formula>0</formula>
    </cfRule>
  </conditionalFormatting>
  <conditionalFormatting sqref="C20">
    <cfRule type="cellIs" dxfId="47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12"/>
      <c r="B1" s="1164"/>
      <c r="C1" s="1165"/>
      <c r="D1" s="1165"/>
      <c r="E1" s="1165"/>
      <c r="F1" s="794"/>
      <c r="G1" s="794"/>
      <c r="H1" s="412"/>
      <c r="I1" s="412"/>
      <c r="J1" s="412"/>
      <c r="K1" s="412"/>
    </row>
    <row r="2" spans="1:12" ht="26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793"/>
      <c r="H2" s="416" t="s">
        <v>485</v>
      </c>
      <c r="I2" s="417" t="s">
        <v>604</v>
      </c>
      <c r="J2" s="417" t="s">
        <v>4</v>
      </c>
      <c r="K2" s="418" t="s">
        <v>8</v>
      </c>
      <c r="L2" s="262"/>
    </row>
    <row r="3" spans="1:12" ht="12.75" thickBot="1">
      <c r="A3" s="412"/>
      <c r="B3" s="419" t="s">
        <v>1</v>
      </c>
      <c r="C3" s="466"/>
      <c r="D3" s="1169"/>
      <c r="E3" s="1170"/>
      <c r="F3" s="1171"/>
      <c r="G3" s="793"/>
      <c r="H3" s="578" t="s">
        <v>372</v>
      </c>
      <c r="I3" s="579" t="str">
        <f>IF(AND($C$6+$C$7=1,$C$8+$C$9=0,$C$10=2),"ДА","НЕТ")</f>
        <v>НЕТ</v>
      </c>
      <c r="J3" s="580"/>
      <c r="K3" s="581">
        <f>IF(I3="ДА",($C$4+$C$5+#REF!+#REF!+#REF!+#REF!)*J3,0)</f>
        <v>0</v>
      </c>
      <c r="L3" s="272"/>
    </row>
    <row r="4" spans="1:12" ht="12" customHeight="1">
      <c r="A4" s="412"/>
      <c r="B4" s="422" t="s">
        <v>520</v>
      </c>
      <c r="C4" s="467">
        <v>0</v>
      </c>
      <c r="D4" s="1166" t="s">
        <v>596</v>
      </c>
      <c r="E4" s="1167"/>
      <c r="F4" s="1168"/>
      <c r="G4" s="793"/>
      <c r="H4" s="423" t="s">
        <v>373</v>
      </c>
      <c r="I4" s="421" t="str">
        <f>IF(AND($C$6+$C$7=1,$C$8+$C$9=0,$C$10=2),"ДА","НЕТ")</f>
        <v>НЕТ</v>
      </c>
      <c r="J4" s="402"/>
      <c r="K4" s="326">
        <f>IF(I4="ДА",($C$4+$C$5+#REF!+#REF!+#REF!+#REF!)*J4,0)</f>
        <v>0</v>
      </c>
      <c r="L4" s="272"/>
    </row>
    <row r="5" spans="1:12" ht="12.75" thickBot="1">
      <c r="A5" s="412"/>
      <c r="B5" s="424" t="s">
        <v>391</v>
      </c>
      <c r="C5" s="468">
        <v>0</v>
      </c>
      <c r="D5" s="1169"/>
      <c r="E5" s="1170"/>
      <c r="F5" s="1171"/>
      <c r="G5" s="793"/>
      <c r="H5" s="423" t="s">
        <v>374</v>
      </c>
      <c r="I5" s="421" t="str">
        <f>IF(AND($C$6+$C$7=1,$C$8+$C$9=0,$C$10=2),"ДА","НЕТ")</f>
        <v>НЕТ</v>
      </c>
      <c r="J5" s="402"/>
      <c r="K5" s="326">
        <f>IF(I5="ДА",($C$4+$C$5+#REF!+#REF!+#REF!+#REF!)*J5,0)</f>
        <v>0</v>
      </c>
      <c r="L5" s="272"/>
    </row>
    <row r="6" spans="1:12" ht="12" customHeight="1">
      <c r="A6" s="412"/>
      <c r="B6" s="414" t="s">
        <v>521</v>
      </c>
      <c r="C6" s="471">
        <v>0</v>
      </c>
      <c r="D6" s="427" t="s">
        <v>287</v>
      </c>
      <c r="E6" s="428" t="s">
        <v>255</v>
      </c>
      <c r="F6" s="1174" t="s">
        <v>596</v>
      </c>
      <c r="G6" s="793"/>
      <c r="H6" s="425" t="s">
        <v>376</v>
      </c>
      <c r="I6" s="421" t="str">
        <f>IF(AND($C$6+$C$7=1,$C$8+$C$9=0,$C$10=3),"ДА","НЕТ")</f>
        <v>НЕТ</v>
      </c>
      <c r="J6" s="329"/>
      <c r="K6" s="326">
        <f>IF(I6="ДА",($C$4+$C$5+#REF!+#REF!+#REF!+#REF!)*J6,0)</f>
        <v>0</v>
      </c>
      <c r="L6" s="272"/>
    </row>
    <row r="7" spans="1:12" ht="12">
      <c r="A7" s="412"/>
      <c r="B7" s="426" t="s">
        <v>490</v>
      </c>
      <c r="C7" s="469">
        <v>0</v>
      </c>
      <c r="D7" s="429" t="s">
        <v>287</v>
      </c>
      <c r="E7" s="430" t="s">
        <v>255</v>
      </c>
      <c r="F7" s="1175"/>
      <c r="G7" s="793"/>
      <c r="H7" s="425" t="s">
        <v>673</v>
      </c>
      <c r="I7" s="421" t="str">
        <f>IF(AND($C$8=1,$C$6+$C$7+$C$9=0,$C$10=2),"ДА","НЕТ")</f>
        <v>НЕТ</v>
      </c>
      <c r="J7" s="329"/>
      <c r="K7" s="326">
        <f>IF(I7="ДА",($C$4+$C$5+#REF!+#REF!+#REF!+#REF!)*J7,0)</f>
        <v>0</v>
      </c>
      <c r="L7" s="272"/>
    </row>
    <row r="8" spans="1:12" ht="12">
      <c r="A8" s="412"/>
      <c r="B8" s="426" t="s">
        <v>522</v>
      </c>
      <c r="C8" s="469">
        <v>0</v>
      </c>
      <c r="D8" s="429" t="s">
        <v>287</v>
      </c>
      <c r="E8" s="430" t="s">
        <v>255</v>
      </c>
      <c r="F8" s="1175"/>
      <c r="G8" s="793"/>
      <c r="H8" s="425" t="s">
        <v>518</v>
      </c>
      <c r="I8" s="421" t="str">
        <f>IF(AND($C$8=1,$C$6+$C$7+$C$9=0,$C$10=2),"ДА","НЕТ")</f>
        <v>НЕТ</v>
      </c>
      <c r="J8" s="329"/>
      <c r="K8" s="326">
        <f>IF(I8="ДА",($C$4+$C$5+#REF!+#REF!+#REF!+#REF!)*J8,0)</f>
        <v>0</v>
      </c>
      <c r="L8" s="272"/>
    </row>
    <row r="9" spans="1:12" ht="12.75" thickBot="1">
      <c r="A9" s="412"/>
      <c r="B9" s="447" t="s">
        <v>492</v>
      </c>
      <c r="C9" s="473">
        <v>0</v>
      </c>
      <c r="D9" s="494" t="s">
        <v>287</v>
      </c>
      <c r="E9" s="495" t="s">
        <v>255</v>
      </c>
      <c r="F9" s="1176"/>
      <c r="G9" s="793"/>
      <c r="H9" s="425" t="s">
        <v>519</v>
      </c>
      <c r="I9" s="421" t="str">
        <f>IF(AND($C$8=1,$C$6+$C$7+$C$9=0,$C$10=1),"ДА","НЕТ")</f>
        <v>НЕТ</v>
      </c>
      <c r="J9" s="329"/>
      <c r="K9" s="326">
        <f>IF(I9="ДА",($C$4+$C$5+#REF!+#REF!+#REF!+#REF!)*J9,0)</f>
        <v>0</v>
      </c>
      <c r="L9" s="272"/>
    </row>
    <row r="10" spans="1:12" ht="12" customHeight="1" thickBot="1">
      <c r="A10" s="412"/>
      <c r="B10" s="447" t="s">
        <v>589</v>
      </c>
      <c r="C10" s="473">
        <v>0</v>
      </c>
      <c r="D10" s="437" t="s">
        <v>619</v>
      </c>
      <c r="E10" s="435" t="s">
        <v>620</v>
      </c>
      <c r="F10" s="796" t="s">
        <v>621</v>
      </c>
      <c r="G10" s="793"/>
      <c r="H10" s="423" t="s">
        <v>379</v>
      </c>
      <c r="I10" s="421" t="str">
        <f>IF(AND($C$9=1,$C$6+$C$7+$C$8=0,$C$10=2),"ДА","НЕТ")</f>
        <v>НЕТ</v>
      </c>
      <c r="J10" s="332"/>
      <c r="K10" s="326">
        <f>IF(I10="ДА",($C$4+$C$5+#REF!+#REF!+#REF!+#REF!)*J10,0)</f>
        <v>0</v>
      </c>
      <c r="L10" s="272"/>
    </row>
    <row r="11" spans="1:12" ht="12.75" thickBot="1">
      <c r="A11" s="412"/>
      <c r="B11" s="436" t="s">
        <v>393</v>
      </c>
      <c r="C11" s="472">
        <v>0</v>
      </c>
      <c r="D11" s="439" t="s">
        <v>394</v>
      </c>
      <c r="E11" s="797" t="s">
        <v>395</v>
      </c>
      <c r="F11" s="476"/>
      <c r="G11" s="793"/>
      <c r="H11" s="420" t="s">
        <v>381</v>
      </c>
      <c r="I11" s="421" t="str">
        <f>IF(AND($C$9=1,$C$6+$C$7+$C$8=0,$C$10=1),"ДА","НЕТ")</f>
        <v>НЕТ</v>
      </c>
      <c r="J11" s="332"/>
      <c r="K11" s="326">
        <f>IF(I11="ДА",($C$4+$C$5+#REF!+#REF!+#REF!+#REF!)*J11,0)</f>
        <v>0</v>
      </c>
      <c r="L11" s="272"/>
    </row>
    <row r="12" spans="1:12" ht="12.75" thickBot="1">
      <c r="A12" s="412"/>
      <c r="B12" s="414" t="s">
        <v>361</v>
      </c>
      <c r="C12" s="471">
        <v>0</v>
      </c>
      <c r="D12" s="427" t="s">
        <v>287</v>
      </c>
      <c r="E12" s="428" t="s">
        <v>255</v>
      </c>
      <c r="F12" s="1174" t="s">
        <v>597</v>
      </c>
      <c r="G12" s="433"/>
      <c r="H12" s="828" t="s">
        <v>382</v>
      </c>
      <c r="I12" s="445" t="str">
        <f>IF(AND($C$9=1,$C$6+$C$7+$C$8=0,$C$10=3),"ДА","НЕТ")</f>
        <v>НЕТ</v>
      </c>
      <c r="J12" s="339"/>
      <c r="K12" s="482">
        <f>IF(I12="ДА",($C$4+$C$5+#REF!+#REF!+#REF!+#REF!)*J12,0)</f>
        <v>0</v>
      </c>
      <c r="L12" s="272"/>
    </row>
    <row r="13" spans="1:12">
      <c r="A13" s="412"/>
      <c r="B13" s="424" t="s">
        <v>362</v>
      </c>
      <c r="C13" s="468">
        <v>0</v>
      </c>
      <c r="D13" s="431" t="s">
        <v>287</v>
      </c>
      <c r="E13" s="432" t="s">
        <v>255</v>
      </c>
      <c r="F13" s="1175"/>
      <c r="G13" s="793"/>
      <c r="H13" s="272"/>
      <c r="L13" s="272"/>
    </row>
    <row r="14" spans="1:12">
      <c r="A14" s="412"/>
      <c r="B14" s="424" t="s">
        <v>466</v>
      </c>
      <c r="C14" s="468">
        <v>0</v>
      </c>
      <c r="D14" s="431" t="s">
        <v>287</v>
      </c>
      <c r="E14" s="432" t="s">
        <v>255</v>
      </c>
      <c r="F14" s="1175"/>
      <c r="G14" s="793"/>
      <c r="H14" s="272"/>
      <c r="L14" s="272"/>
    </row>
    <row r="15" spans="1:12" ht="12" thickBot="1">
      <c r="A15" s="412"/>
      <c r="B15" s="521" t="s">
        <v>523</v>
      </c>
      <c r="C15" s="520">
        <v>0</v>
      </c>
      <c r="D15" s="633" t="s">
        <v>287</v>
      </c>
      <c r="E15" s="523" t="s">
        <v>255</v>
      </c>
      <c r="F15" s="1175"/>
      <c r="G15" s="433"/>
      <c r="H15" s="272"/>
      <c r="L15" s="272"/>
    </row>
    <row r="16" spans="1:12">
      <c r="A16" s="412"/>
      <c r="B16" s="414" t="s">
        <v>147</v>
      </c>
      <c r="C16" s="471">
        <v>0</v>
      </c>
      <c r="D16" s="1177" t="s">
        <v>686</v>
      </c>
      <c r="E16" s="1178"/>
      <c r="F16" s="1179"/>
      <c r="G16" s="433"/>
      <c r="H16" s="272"/>
      <c r="L16" s="272"/>
    </row>
    <row r="17" spans="1:12">
      <c r="A17" s="412"/>
      <c r="B17" s="424" t="s">
        <v>146</v>
      </c>
      <c r="C17" s="468">
        <v>0</v>
      </c>
      <c r="D17" s="1180" t="s">
        <v>687</v>
      </c>
      <c r="E17" s="1181"/>
      <c r="F17" s="1182"/>
      <c r="G17" s="793"/>
      <c r="H17" s="446"/>
      <c r="I17" s="446"/>
      <c r="J17" s="446"/>
      <c r="K17" s="446"/>
      <c r="L17" s="272"/>
    </row>
    <row r="18" spans="1:12" ht="12" thickBot="1">
      <c r="A18" s="412"/>
      <c r="B18" s="419" t="s">
        <v>143</v>
      </c>
      <c r="C18" s="470">
        <v>0</v>
      </c>
      <c r="D18" s="1183" t="s">
        <v>688</v>
      </c>
      <c r="E18" s="1184"/>
      <c r="F18" s="1185"/>
      <c r="G18" s="793"/>
      <c r="H18" s="446"/>
      <c r="I18" s="446"/>
      <c r="J18" s="446"/>
      <c r="K18" s="446"/>
    </row>
    <row r="19" spans="1:12" ht="12" thickBot="1">
      <c r="A19" s="412"/>
      <c r="B19" s="1163"/>
      <c r="C19" s="1163"/>
      <c r="D19" s="1163"/>
      <c r="E19" s="1163"/>
      <c r="F19" s="793"/>
      <c r="G19" s="442"/>
      <c r="H19" s="448"/>
      <c r="I19" s="448"/>
      <c r="J19" s="446"/>
      <c r="K19" s="446"/>
    </row>
    <row r="20" spans="1:12" ht="12.75">
      <c r="A20" s="412"/>
      <c r="B20" s="451" t="s">
        <v>5</v>
      </c>
      <c r="C20" s="452" t="s">
        <v>0</v>
      </c>
      <c r="D20" s="453" t="s">
        <v>4</v>
      </c>
      <c r="E20" s="454" t="s">
        <v>8</v>
      </c>
      <c r="F20" s="455"/>
      <c r="G20" s="442"/>
      <c r="H20" s="457"/>
      <c r="I20" s="793"/>
      <c r="J20" s="446"/>
      <c r="K20" s="446"/>
    </row>
    <row r="21" spans="1:12">
      <c r="A21" s="412"/>
      <c r="B21" s="456" t="s">
        <v>605</v>
      </c>
      <c r="C21" s="349">
        <f>IF(C14=1,C14*(C4+C5)*2,0)</f>
        <v>0</v>
      </c>
      <c r="D21" s="403">
        <v>1</v>
      </c>
      <c r="E21" s="351">
        <f>C21*D21</f>
        <v>0</v>
      </c>
      <c r="F21" s="352"/>
      <c r="G21" s="793"/>
      <c r="H21" s="446"/>
      <c r="I21" s="446"/>
      <c r="J21" s="446"/>
      <c r="K21" s="446"/>
    </row>
    <row r="22" spans="1:12" ht="11.25" customHeight="1">
      <c r="A22" s="412"/>
      <c r="B22" s="456" t="s">
        <v>563</v>
      </c>
      <c r="C22" s="349">
        <f>IF(C15=1,C15*(C4+C5)*2,0)</f>
        <v>0</v>
      </c>
      <c r="D22" s="403"/>
      <c r="E22" s="351">
        <f t="shared" ref="E22:E45" si="0">C22*D22</f>
        <v>0</v>
      </c>
      <c r="F22" s="352"/>
      <c r="G22" s="793"/>
      <c r="H22" s="446"/>
      <c r="I22" s="446"/>
      <c r="J22" s="446"/>
      <c r="K22" s="446"/>
      <c r="L22" s="272"/>
    </row>
    <row r="23" spans="1:12">
      <c r="A23" s="412"/>
      <c r="B23" s="456" t="s">
        <v>117</v>
      </c>
      <c r="C23" s="349">
        <f>IF((C12+C13)&gt;0,(C12+C13)*4*(C4+C5),0)</f>
        <v>0</v>
      </c>
      <c r="D23" s="403"/>
      <c r="E23" s="351">
        <f t="shared" si="0"/>
        <v>0</v>
      </c>
      <c r="F23" s="352"/>
      <c r="G23" s="793"/>
      <c r="H23" s="446"/>
      <c r="I23" s="446"/>
      <c r="J23" s="446"/>
      <c r="K23" s="446"/>
      <c r="L23" s="256"/>
    </row>
    <row r="24" spans="1:12">
      <c r="A24" s="412"/>
      <c r="B24" s="458" t="s">
        <v>792</v>
      </c>
      <c r="C24" s="354">
        <f>(C4+C5)*2</f>
        <v>0</v>
      </c>
      <c r="D24" s="360"/>
      <c r="E24" s="351">
        <f>C24*D24</f>
        <v>0</v>
      </c>
      <c r="F24" s="352"/>
      <c r="G24" s="352"/>
      <c r="H24" s="446"/>
      <c r="I24" s="446"/>
      <c r="J24" s="446"/>
      <c r="K24" s="446"/>
    </row>
    <row r="25" spans="1:12">
      <c r="A25" s="412"/>
      <c r="B25" s="456" t="s">
        <v>474</v>
      </c>
      <c r="C25" s="349">
        <f>(C5+C15)*C2*2</f>
        <v>0</v>
      </c>
      <c r="D25" s="403"/>
      <c r="E25" s="351">
        <f t="shared" si="0"/>
        <v>0</v>
      </c>
      <c r="F25" s="352"/>
      <c r="G25" s="352"/>
      <c r="H25" s="446"/>
      <c r="I25" s="446"/>
      <c r="J25" s="446"/>
      <c r="K25" s="446"/>
    </row>
    <row r="26" spans="1:12">
      <c r="A26" s="412"/>
      <c r="B26" s="458" t="s">
        <v>363</v>
      </c>
      <c r="C26" s="354">
        <f>C13*4*C2*(C4+C5)</f>
        <v>0</v>
      </c>
      <c r="D26" s="360"/>
      <c r="E26" s="351">
        <f t="shared" si="0"/>
        <v>0</v>
      </c>
      <c r="F26" s="352"/>
      <c r="G26" s="352"/>
      <c r="H26" s="446"/>
      <c r="I26" s="446"/>
      <c r="J26" s="446"/>
      <c r="K26" s="446"/>
    </row>
    <row r="27" spans="1:12">
      <c r="A27" s="412"/>
      <c r="B27" s="458" t="s">
        <v>118</v>
      </c>
      <c r="C27" s="354">
        <f>C2*(C12+C14)*(C4+C5)*2</f>
        <v>0</v>
      </c>
      <c r="D27" s="360"/>
      <c r="E27" s="351">
        <f t="shared" si="0"/>
        <v>0</v>
      </c>
      <c r="F27" s="352"/>
      <c r="G27" s="352"/>
      <c r="H27" s="446"/>
      <c r="I27" s="446"/>
      <c r="J27" s="446"/>
      <c r="K27" s="446"/>
    </row>
    <row r="28" spans="1:12">
      <c r="A28" s="412"/>
      <c r="B28" s="458" t="s">
        <v>480</v>
      </c>
      <c r="C28" s="354">
        <f>C4*C2*2</f>
        <v>0</v>
      </c>
      <c r="D28" s="360"/>
      <c r="E28" s="351">
        <f t="shared" si="0"/>
        <v>0</v>
      </c>
      <c r="F28" s="352"/>
      <c r="G28" s="352"/>
      <c r="H28" s="446"/>
      <c r="I28" s="446"/>
      <c r="J28" s="446"/>
      <c r="K28" s="446"/>
    </row>
    <row r="29" spans="1:12">
      <c r="A29" s="412"/>
      <c r="B29" s="458" t="s">
        <v>616</v>
      </c>
      <c r="C29" s="354">
        <f>C14*C2*(C4+C5)*2</f>
        <v>0</v>
      </c>
      <c r="D29" s="360"/>
      <c r="E29" s="351">
        <f t="shared" si="0"/>
        <v>0</v>
      </c>
      <c r="F29" s="352"/>
      <c r="G29" s="352"/>
      <c r="H29" s="446"/>
      <c r="I29" s="446"/>
      <c r="J29" s="446"/>
      <c r="K29" s="446"/>
    </row>
    <row r="30" spans="1:12">
      <c r="A30" s="412"/>
      <c r="B30" s="458" t="s">
        <v>467</v>
      </c>
      <c r="C30" s="354">
        <f>C15*C2*(C4+C5)*2</f>
        <v>0</v>
      </c>
      <c r="D30" s="360"/>
      <c r="E30" s="351">
        <f t="shared" si="0"/>
        <v>0</v>
      </c>
      <c r="F30" s="352"/>
      <c r="G30" s="352"/>
      <c r="H30" s="446"/>
      <c r="I30" s="446"/>
      <c r="J30" s="446"/>
      <c r="K30" s="446"/>
    </row>
    <row r="31" spans="1:12">
      <c r="A31" s="412"/>
      <c r="B31" s="458" t="s">
        <v>364</v>
      </c>
      <c r="C31" s="354">
        <f>C12*C2*(C4+C5)*2</f>
        <v>0</v>
      </c>
      <c r="D31" s="360"/>
      <c r="E31" s="351">
        <f t="shared" si="0"/>
        <v>0</v>
      </c>
      <c r="F31" s="352"/>
      <c r="G31" s="352"/>
      <c r="H31" s="446"/>
      <c r="I31" s="446"/>
      <c r="J31" s="446"/>
      <c r="K31" s="446"/>
    </row>
    <row r="32" spans="1:12">
      <c r="A32" s="412"/>
      <c r="B32" s="458" t="s">
        <v>365</v>
      </c>
      <c r="C32" s="354">
        <f>C13*C2*(C4+C5)*2</f>
        <v>0</v>
      </c>
      <c r="D32" s="360"/>
      <c r="E32" s="351">
        <f t="shared" si="0"/>
        <v>0</v>
      </c>
      <c r="F32" s="352"/>
      <c r="G32" s="352"/>
      <c r="H32" s="446"/>
      <c r="I32" s="446"/>
      <c r="J32" s="446"/>
      <c r="K32" s="446"/>
    </row>
    <row r="33" spans="1:11">
      <c r="A33" s="412"/>
      <c r="B33" s="456" t="s">
        <v>525</v>
      </c>
      <c r="C33" s="349">
        <f>C2*C4*2</f>
        <v>0</v>
      </c>
      <c r="D33" s="403"/>
      <c r="E33" s="351">
        <f t="shared" si="0"/>
        <v>0</v>
      </c>
      <c r="F33" s="352"/>
      <c r="G33" s="352"/>
      <c r="H33" s="446"/>
      <c r="I33" s="446"/>
      <c r="J33" s="446"/>
      <c r="K33" s="446"/>
    </row>
    <row r="34" spans="1:11">
      <c r="A34" s="412"/>
      <c r="B34" s="456" t="s">
        <v>451</v>
      </c>
      <c r="C34" s="349">
        <f>C2*C5*2</f>
        <v>0</v>
      </c>
      <c r="D34" s="403"/>
      <c r="E34" s="351">
        <f t="shared" si="0"/>
        <v>0</v>
      </c>
      <c r="F34" s="352"/>
      <c r="G34" s="352"/>
      <c r="H34" s="446"/>
      <c r="I34" s="446"/>
      <c r="J34" s="446"/>
      <c r="K34" s="446"/>
    </row>
    <row r="35" spans="1:11">
      <c r="A35" s="412"/>
      <c r="B35" s="458" t="s">
        <v>367</v>
      </c>
      <c r="C35" s="354">
        <f>C5*2</f>
        <v>0</v>
      </c>
      <c r="D35" s="360"/>
      <c r="E35" s="351">
        <f t="shared" si="0"/>
        <v>0</v>
      </c>
      <c r="F35" s="352"/>
      <c r="G35" s="352"/>
      <c r="H35" s="446"/>
      <c r="I35" s="446"/>
      <c r="J35" s="446"/>
      <c r="K35" s="446"/>
    </row>
    <row r="36" spans="1:11">
      <c r="A36" s="412"/>
      <c r="B36" s="458" t="s">
        <v>828</v>
      </c>
      <c r="C36" s="354">
        <f>(C4+C5)*2</f>
        <v>0</v>
      </c>
      <c r="D36" s="360"/>
      <c r="E36" s="351">
        <f t="shared" si="0"/>
        <v>0</v>
      </c>
      <c r="F36" s="352"/>
      <c r="G36" s="352"/>
      <c r="H36" s="446"/>
      <c r="I36" s="446"/>
      <c r="J36" s="446"/>
      <c r="K36" s="446"/>
    </row>
    <row r="37" spans="1:11">
      <c r="A37" s="412"/>
      <c r="B37" s="459" t="s">
        <v>454</v>
      </c>
      <c r="C37" s="406">
        <f>(C4+C5)*2</f>
        <v>0</v>
      </c>
      <c r="D37" s="360"/>
      <c r="E37" s="407">
        <f t="shared" si="0"/>
        <v>0</v>
      </c>
      <c r="F37" s="352"/>
      <c r="G37" s="352"/>
      <c r="H37" s="446"/>
      <c r="I37" s="446"/>
      <c r="J37" s="446"/>
      <c r="K37" s="446"/>
    </row>
    <row r="38" spans="1:11">
      <c r="A38" s="412"/>
      <c r="B38" s="459" t="s">
        <v>375</v>
      </c>
      <c r="C38" s="406">
        <f>(C6+C7)*(C4+C5)*2</f>
        <v>0</v>
      </c>
      <c r="D38" s="360"/>
      <c r="E38" s="407">
        <f t="shared" si="0"/>
        <v>0</v>
      </c>
      <c r="F38" s="352"/>
      <c r="G38" s="352"/>
      <c r="H38" s="446"/>
      <c r="I38" s="446"/>
      <c r="J38" s="446"/>
      <c r="K38" s="446"/>
    </row>
    <row r="39" spans="1:11">
      <c r="A39" s="412"/>
      <c r="B39" s="459" t="s">
        <v>495</v>
      </c>
      <c r="C39" s="406">
        <f>C7*C5*2</f>
        <v>0</v>
      </c>
      <c r="D39" s="360"/>
      <c r="E39" s="407">
        <f t="shared" si="0"/>
        <v>0</v>
      </c>
      <c r="F39" s="352"/>
      <c r="G39" s="352"/>
      <c r="H39" s="446"/>
      <c r="I39" s="446"/>
      <c r="J39" s="446"/>
      <c r="K39" s="446"/>
    </row>
    <row r="40" spans="1:11" hidden="1">
      <c r="A40" s="412"/>
      <c r="B40" s="459" t="s">
        <v>528</v>
      </c>
      <c r="C40" s="406">
        <f>C4*2</f>
        <v>0</v>
      </c>
      <c r="D40" s="360"/>
      <c r="E40" s="407">
        <f t="shared" si="0"/>
        <v>0</v>
      </c>
      <c r="F40" s="352"/>
      <c r="G40" s="352"/>
      <c r="H40" s="446"/>
      <c r="I40" s="446"/>
      <c r="J40" s="446"/>
      <c r="K40" s="446"/>
    </row>
    <row r="41" spans="1:11">
      <c r="A41" s="412"/>
      <c r="B41" s="459" t="s">
        <v>380</v>
      </c>
      <c r="C41" s="406">
        <f>C9*C5*2</f>
        <v>0</v>
      </c>
      <c r="D41" s="360"/>
      <c r="E41" s="407">
        <f t="shared" si="0"/>
        <v>0</v>
      </c>
      <c r="F41" s="352"/>
      <c r="G41" s="352"/>
      <c r="H41" s="446"/>
      <c r="I41" s="446"/>
      <c r="J41" s="446"/>
      <c r="K41" s="446"/>
    </row>
    <row r="42" spans="1:11">
      <c r="A42" s="412"/>
      <c r="B42" s="459" t="s">
        <v>529</v>
      </c>
      <c r="C42" s="406">
        <f>(C9+C8)*(C4+C5)*2</f>
        <v>0</v>
      </c>
      <c r="D42" s="360"/>
      <c r="E42" s="407">
        <f t="shared" si="0"/>
        <v>0</v>
      </c>
      <c r="F42" s="352"/>
      <c r="G42" s="352"/>
      <c r="H42" s="446"/>
      <c r="I42" s="446"/>
      <c r="J42" s="446"/>
      <c r="K42" s="446"/>
    </row>
    <row r="43" spans="1:11">
      <c r="A43" s="412"/>
      <c r="B43" s="154" t="s">
        <v>145</v>
      </c>
      <c r="C43" s="406">
        <f>C17</f>
        <v>0</v>
      </c>
      <c r="D43" s="728"/>
      <c r="E43" s="407">
        <f t="shared" si="0"/>
        <v>0</v>
      </c>
      <c r="F43" s="352"/>
      <c r="G43" s="352"/>
      <c r="H43" s="446"/>
      <c r="I43" s="446"/>
      <c r="J43" s="446"/>
      <c r="K43" s="446"/>
    </row>
    <row r="44" spans="1:11">
      <c r="A44" s="412"/>
      <c r="B44" s="154" t="s">
        <v>148</v>
      </c>
      <c r="C44" s="406">
        <f>C16</f>
        <v>0</v>
      </c>
      <c r="D44" s="728"/>
      <c r="E44" s="407">
        <f t="shared" si="0"/>
        <v>0</v>
      </c>
      <c r="F44" s="352"/>
      <c r="G44" s="352"/>
      <c r="H44" s="446"/>
      <c r="I44" s="446"/>
      <c r="J44" s="446"/>
      <c r="K44" s="446"/>
    </row>
    <row r="45" spans="1:11" ht="12" thickBot="1">
      <c r="A45" s="412"/>
      <c r="B45" s="30" t="s">
        <v>689</v>
      </c>
      <c r="C45" s="409">
        <f>C18</f>
        <v>0</v>
      </c>
      <c r="D45" s="827"/>
      <c r="E45" s="411">
        <f t="shared" si="0"/>
        <v>0</v>
      </c>
      <c r="F45" s="352"/>
      <c r="G45" s="352"/>
      <c r="H45" s="446"/>
      <c r="I45" s="446"/>
      <c r="J45" s="446"/>
      <c r="K45" s="446"/>
    </row>
    <row r="46" spans="1:11" ht="13.5" thickBot="1">
      <c r="A46" s="412"/>
      <c r="B46" s="446"/>
      <c r="C46" s="446"/>
      <c r="D46" s="462" t="s">
        <v>9</v>
      </c>
      <c r="E46" s="826">
        <f>SUMIF(E21:E45,"&gt;0",E21:E45)</f>
        <v>0</v>
      </c>
      <c r="F46" s="464"/>
      <c r="G46" s="352"/>
      <c r="H46" s="446"/>
      <c r="I46" s="446"/>
      <c r="J46" s="446"/>
      <c r="K46" s="446"/>
    </row>
    <row r="47" spans="1:11">
      <c r="A47" s="412"/>
      <c r="B47" s="446"/>
      <c r="C47" s="446"/>
      <c r="D47" s="446"/>
      <c r="E47" s="446"/>
      <c r="F47" s="446"/>
      <c r="G47" s="352"/>
      <c r="H47" s="446"/>
      <c r="I47" s="446"/>
      <c r="J47" s="446"/>
      <c r="K47" s="446"/>
    </row>
    <row r="48" spans="1:11">
      <c r="A48" s="412"/>
      <c r="B48" s="446"/>
      <c r="C48" s="446"/>
      <c r="D48" s="446"/>
      <c r="E48" s="446"/>
      <c r="F48" s="446"/>
      <c r="G48" s="352"/>
      <c r="H48" s="446"/>
      <c r="I48" s="446"/>
      <c r="J48" s="446"/>
      <c r="K48" s="446"/>
    </row>
    <row r="49" spans="1:11">
      <c r="A49" s="412"/>
      <c r="B49" s="446"/>
      <c r="C49" s="446"/>
      <c r="D49" s="446"/>
      <c r="E49" s="446"/>
      <c r="F49" s="446"/>
      <c r="G49" s="352"/>
      <c r="H49" s="446"/>
      <c r="I49" s="446"/>
      <c r="J49" s="446"/>
      <c r="K49" s="446"/>
    </row>
    <row r="50" spans="1:11">
      <c r="A50" s="412"/>
      <c r="B50" s="412"/>
      <c r="C50" s="412"/>
      <c r="D50" s="412"/>
      <c r="E50" s="412"/>
      <c r="F50" s="412"/>
      <c r="G50" s="352"/>
      <c r="H50" s="446"/>
      <c r="I50" s="446"/>
      <c r="J50" s="446"/>
      <c r="K50" s="446"/>
    </row>
    <row r="51" spans="1:11">
      <c r="A51" s="412"/>
      <c r="G51" s="352"/>
      <c r="H51" s="446"/>
      <c r="I51" s="446"/>
      <c r="J51" s="446"/>
      <c r="K51" s="446"/>
    </row>
    <row r="52" spans="1:11">
      <c r="A52" s="412"/>
      <c r="G52" s="352"/>
      <c r="H52" s="446"/>
      <c r="I52" s="446"/>
      <c r="J52" s="446"/>
      <c r="K52" s="448"/>
    </row>
    <row r="53" spans="1:11">
      <c r="A53" s="412"/>
      <c r="G53" s="352"/>
      <c r="H53" s="446"/>
      <c r="I53" s="446"/>
      <c r="J53" s="446"/>
      <c r="K53" s="446"/>
    </row>
    <row r="54" spans="1:11">
      <c r="A54" s="412"/>
      <c r="G54" s="352"/>
      <c r="H54" s="412"/>
      <c r="I54" s="412"/>
      <c r="J54" s="412"/>
      <c r="K54" s="412"/>
    </row>
    <row r="55" spans="1:11">
      <c r="A55" s="412"/>
      <c r="G55" s="464"/>
      <c r="H55" s="412"/>
      <c r="I55" s="412"/>
      <c r="J55" s="412"/>
      <c r="K55" s="412"/>
    </row>
    <row r="56" spans="1:11">
      <c r="A56" s="412"/>
      <c r="G56" s="446"/>
    </row>
    <row r="57" spans="1:11">
      <c r="A57" s="412"/>
      <c r="G57" s="446"/>
    </row>
    <row r="58" spans="1:11">
      <c r="A58" s="412"/>
      <c r="G58" s="446"/>
    </row>
    <row r="59" spans="1:11">
      <c r="A59" s="412"/>
      <c r="G59" s="412"/>
    </row>
    <row r="60" spans="1:11">
      <c r="A60" s="412"/>
      <c r="G60" s="412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470" priority="11" operator="equal">
      <formula>"ДА"</formula>
    </cfRule>
    <cfRule type="cellIs" dxfId="469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468" priority="10" operator="greaterThan">
      <formula>0</formula>
    </cfRule>
  </conditionalFormatting>
  <conditionalFormatting sqref="E46">
    <cfRule type="cellIs" dxfId="467" priority="8" operator="greaterThan">
      <formula>0</formula>
    </cfRule>
    <cfRule type="cellIs" dxfId="466" priority="9" operator="greaterThan">
      <formula>0</formula>
    </cfRule>
  </conditionalFormatting>
  <conditionalFormatting sqref="C2:C18">
    <cfRule type="cellIs" dxfId="465" priority="6" operator="greaterThan">
      <formula>0</formula>
    </cfRule>
  </conditionalFormatting>
  <conditionalFormatting sqref="C24:E24">
    <cfRule type="cellIs" dxfId="464" priority="3" operator="greaterThan">
      <formula>0</formula>
    </cfRule>
  </conditionalFormatting>
  <conditionalFormatting sqref="C43:C45">
    <cfRule type="cellIs" dxfId="463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12"/>
      <c r="B1" s="1164"/>
      <c r="C1" s="1165"/>
      <c r="D1" s="1165"/>
      <c r="E1" s="412"/>
      <c r="F1" s="412"/>
      <c r="G1" s="412"/>
      <c r="H1" s="412"/>
      <c r="I1" s="412"/>
      <c r="J1" s="412"/>
      <c r="K1" s="412"/>
      <c r="L1" s="412"/>
    </row>
    <row r="2" spans="1:15" ht="12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88"/>
      <c r="H2" s="416" t="s">
        <v>485</v>
      </c>
      <c r="I2" s="417" t="s">
        <v>604</v>
      </c>
      <c r="J2" s="483" t="s">
        <v>4</v>
      </c>
      <c r="K2" s="484" t="s">
        <v>8</v>
      </c>
      <c r="L2" s="489"/>
    </row>
    <row r="3" spans="1:15" ht="12.75" thickBot="1">
      <c r="A3" s="412"/>
      <c r="B3" s="419" t="s">
        <v>1</v>
      </c>
      <c r="C3" s="466">
        <v>0</v>
      </c>
      <c r="D3" s="1169"/>
      <c r="E3" s="1170"/>
      <c r="F3" s="1171"/>
      <c r="G3" s="488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89"/>
    </row>
    <row r="4" spans="1:15" ht="12" customHeight="1">
      <c r="A4" s="412"/>
      <c r="B4" s="414" t="s">
        <v>530</v>
      </c>
      <c r="C4" s="471">
        <v>0</v>
      </c>
      <c r="D4" s="1166" t="s">
        <v>597</v>
      </c>
      <c r="E4" s="1167"/>
      <c r="F4" s="1168"/>
      <c r="G4" s="490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91"/>
    </row>
    <row r="5" spans="1:15" ht="12">
      <c r="A5" s="412"/>
      <c r="B5" s="426" t="s">
        <v>396</v>
      </c>
      <c r="C5" s="469"/>
      <c r="D5" s="1186"/>
      <c r="E5" s="1172"/>
      <c r="F5" s="1173"/>
      <c r="G5" s="446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</row>
    <row r="6" spans="1:15" ht="12.75" thickBot="1">
      <c r="A6" s="412"/>
      <c r="B6" s="447" t="s">
        <v>392</v>
      </c>
      <c r="C6" s="473">
        <v>0</v>
      </c>
      <c r="D6" s="1186"/>
      <c r="E6" s="1172"/>
      <c r="F6" s="1173"/>
      <c r="G6" s="49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93"/>
      <c r="M6" s="254"/>
      <c r="N6" s="254"/>
      <c r="O6" s="254"/>
    </row>
    <row r="7" spans="1:15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9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93"/>
      <c r="M7" s="254"/>
      <c r="N7" s="254"/>
      <c r="O7" s="254"/>
    </row>
    <row r="8" spans="1:15" ht="12">
      <c r="A8" s="412"/>
      <c r="B8" s="426" t="s">
        <v>490</v>
      </c>
      <c r="C8" s="469"/>
      <c r="D8" s="431" t="s">
        <v>287</v>
      </c>
      <c r="E8" s="432" t="s">
        <v>255</v>
      </c>
      <c r="F8" s="1175"/>
      <c r="G8" s="446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</row>
    <row r="9" spans="1:15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446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</row>
    <row r="10" spans="1:15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446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</row>
    <row r="11" spans="1:15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48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96"/>
      <c r="M11" s="71"/>
      <c r="N11" s="71"/>
    </row>
    <row r="12" spans="1:15" ht="12.75" thickBot="1">
      <c r="A12" s="412"/>
      <c r="B12" s="497" t="s">
        <v>493</v>
      </c>
      <c r="C12" s="479">
        <v>0</v>
      </c>
      <c r="D12" s="498" t="s">
        <v>287</v>
      </c>
      <c r="E12" s="499" t="s">
        <v>255</v>
      </c>
      <c r="F12" s="1176"/>
      <c r="G12" s="500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96"/>
      <c r="M12" s="71"/>
      <c r="N12" s="71"/>
    </row>
    <row r="13" spans="1:15" ht="12.75" thickBot="1">
      <c r="A13" s="412"/>
      <c r="B13" s="436" t="s">
        <v>589</v>
      </c>
      <c r="C13" s="472">
        <v>0</v>
      </c>
      <c r="D13" s="478" t="s">
        <v>619</v>
      </c>
      <c r="E13" s="441" t="s">
        <v>620</v>
      </c>
      <c r="F13" s="443" t="s">
        <v>621</v>
      </c>
      <c r="G13" s="500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96"/>
      <c r="M13" s="71"/>
      <c r="N13" s="71"/>
    </row>
    <row r="14" spans="1:15" ht="12.75" thickBot="1">
      <c r="A14" s="412"/>
      <c r="B14" s="436" t="s">
        <v>722</v>
      </c>
      <c r="C14" s="472">
        <v>0</v>
      </c>
      <c r="D14" s="498" t="s">
        <v>287</v>
      </c>
      <c r="E14" s="499" t="s">
        <v>255</v>
      </c>
      <c r="F14" s="628"/>
      <c r="G14" s="446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</row>
    <row r="15" spans="1:15" ht="12" customHeight="1" thickBot="1">
      <c r="A15" s="412"/>
      <c r="B15" s="436" t="s">
        <v>358</v>
      </c>
      <c r="C15" s="472">
        <v>0</v>
      </c>
      <c r="D15" s="440" t="s">
        <v>622</v>
      </c>
      <c r="E15" s="441" t="s">
        <v>623</v>
      </c>
      <c r="F15" s="628"/>
      <c r="G15" s="446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</row>
    <row r="16" spans="1:15" ht="12">
      <c r="A16" s="412"/>
      <c r="B16" s="414" t="s">
        <v>397</v>
      </c>
      <c r="C16" s="471">
        <v>0</v>
      </c>
      <c r="D16" s="431" t="s">
        <v>287</v>
      </c>
      <c r="E16" s="432" t="s">
        <v>255</v>
      </c>
      <c r="F16" s="1187" t="s">
        <v>597</v>
      </c>
      <c r="G16" s="44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96"/>
      <c r="B17" s="419" t="s">
        <v>398</v>
      </c>
      <c r="C17" s="470">
        <v>0</v>
      </c>
      <c r="D17" s="494" t="s">
        <v>287</v>
      </c>
      <c r="E17" s="495" t="s">
        <v>255</v>
      </c>
      <c r="F17" s="1188"/>
      <c r="G17" s="446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</row>
    <row r="18" spans="1:12" ht="12">
      <c r="A18" s="496"/>
      <c r="B18" s="414" t="s">
        <v>147</v>
      </c>
      <c r="C18" s="471">
        <v>0</v>
      </c>
      <c r="D18" s="1177" t="s">
        <v>686</v>
      </c>
      <c r="E18" s="1178"/>
      <c r="F18" s="1179"/>
      <c r="G18" s="446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</row>
    <row r="19" spans="1:12" ht="12">
      <c r="A19" s="496"/>
      <c r="B19" s="424" t="s">
        <v>146</v>
      </c>
      <c r="C19" s="468">
        <v>0</v>
      </c>
      <c r="D19" s="1180" t="s">
        <v>687</v>
      </c>
      <c r="E19" s="1181"/>
      <c r="F19" s="1182"/>
      <c r="G19" s="446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</row>
    <row r="20" spans="1:12" ht="12.75" thickBot="1">
      <c r="A20" s="496"/>
      <c r="B20" s="419" t="s">
        <v>143</v>
      </c>
      <c r="C20" s="470">
        <v>0</v>
      </c>
      <c r="D20" s="1183" t="s">
        <v>688</v>
      </c>
      <c r="E20" s="1184"/>
      <c r="F20" s="1185"/>
      <c r="G20" s="446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</row>
    <row r="21" spans="1:12" ht="12.75" thickBot="1">
      <c r="A21" s="496"/>
      <c r="B21" s="415"/>
      <c r="C21" s="415"/>
      <c r="D21" s="415"/>
      <c r="E21" s="448"/>
      <c r="F21" s="448"/>
      <c r="G21" s="44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</row>
    <row r="22" spans="1:12" ht="12" thickBot="1">
      <c r="A22" s="412"/>
      <c r="B22" s="415"/>
      <c r="C22" s="415"/>
      <c r="D22" s="415"/>
      <c r="E22" s="448"/>
      <c r="F22" s="448"/>
      <c r="G22" s="446"/>
      <c r="H22" s="446"/>
      <c r="I22" s="446"/>
      <c r="J22" s="446"/>
      <c r="K22" s="446"/>
      <c r="L22" s="412"/>
    </row>
    <row r="23" spans="1:12" ht="13.5" thickBot="1">
      <c r="A23" s="412"/>
      <c r="B23" s="501" t="s">
        <v>5</v>
      </c>
      <c r="C23" s="502" t="s">
        <v>0</v>
      </c>
      <c r="D23" s="503" t="s">
        <v>4</v>
      </c>
      <c r="E23" s="504" t="s">
        <v>8</v>
      </c>
      <c r="F23" s="455"/>
      <c r="G23" s="446"/>
      <c r="H23" s="446"/>
      <c r="I23" s="446"/>
      <c r="J23" s="446"/>
      <c r="K23" s="446"/>
      <c r="L23" s="412"/>
    </row>
    <row r="24" spans="1:12">
      <c r="A24" s="412"/>
      <c r="B24" s="505" t="s">
        <v>399</v>
      </c>
      <c r="C24" s="485">
        <f>C16*2*(C4+C5+C6)</f>
        <v>0</v>
      </c>
      <c r="D24" s="486"/>
      <c r="E24" s="487">
        <f>C24*D24</f>
        <v>0</v>
      </c>
      <c r="F24" s="352"/>
      <c r="G24" s="446"/>
      <c r="H24" s="446"/>
      <c r="I24" s="446"/>
      <c r="J24" s="446"/>
      <c r="K24" s="446"/>
      <c r="L24" s="412"/>
    </row>
    <row r="25" spans="1:12">
      <c r="A25" s="412"/>
      <c r="B25" s="456" t="s">
        <v>400</v>
      </c>
      <c r="C25" s="349">
        <f>IF(C16=0,C17*(C4+C5+C6),0)</f>
        <v>0</v>
      </c>
      <c r="D25" s="360"/>
      <c r="E25" s="351">
        <f t="shared" ref="E25:E57" si="1">C25*D25</f>
        <v>0</v>
      </c>
      <c r="F25" s="352"/>
      <c r="G25" s="448"/>
      <c r="H25" s="446"/>
      <c r="I25" s="446"/>
      <c r="J25" s="446"/>
      <c r="K25" s="446"/>
      <c r="L25" s="412"/>
    </row>
    <row r="26" spans="1:12">
      <c r="A26" s="412"/>
      <c r="B26" s="458" t="s">
        <v>479</v>
      </c>
      <c r="C26" s="354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60"/>
      <c r="E26" s="351">
        <f t="shared" si="1"/>
        <v>0</v>
      </c>
      <c r="F26" s="352"/>
      <c r="G26" s="446"/>
      <c r="H26" s="446"/>
      <c r="I26" s="446"/>
      <c r="J26" s="446"/>
      <c r="K26" s="446"/>
      <c r="L26" s="412"/>
    </row>
    <row r="27" spans="1:12">
      <c r="A27" s="412"/>
      <c r="B27" s="348" t="s">
        <v>723</v>
      </c>
      <c r="C27" s="354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60"/>
      <c r="E27" s="351">
        <f t="shared" si="1"/>
        <v>0</v>
      </c>
      <c r="F27" s="352"/>
      <c r="G27" s="446"/>
      <c r="H27" s="446"/>
      <c r="I27" s="446"/>
      <c r="J27" s="446"/>
      <c r="K27" s="446"/>
      <c r="L27" s="412"/>
    </row>
    <row r="28" spans="1:12">
      <c r="A28" s="412"/>
      <c r="B28" s="458" t="s">
        <v>447</v>
      </c>
      <c r="C28" s="354">
        <f>IF(C15=1,(C4+C6+C5)*2,0)</f>
        <v>0</v>
      </c>
      <c r="D28" s="360"/>
      <c r="E28" s="351">
        <f t="shared" si="1"/>
        <v>0</v>
      </c>
      <c r="F28" s="352"/>
      <c r="G28" s="415"/>
      <c r="H28" s="446"/>
      <c r="I28" s="446"/>
      <c r="J28" s="446"/>
      <c r="K28" s="446"/>
      <c r="L28" s="412"/>
    </row>
    <row r="29" spans="1:12">
      <c r="A29" s="412"/>
      <c r="B29" s="458" t="s">
        <v>448</v>
      </c>
      <c r="C29" s="354">
        <f>IF(C15=2,(C4+C6+C5)*2,0)</f>
        <v>0</v>
      </c>
      <c r="D29" s="360"/>
      <c r="E29" s="351">
        <f t="shared" si="1"/>
        <v>0</v>
      </c>
      <c r="F29" s="352"/>
      <c r="G29" s="446"/>
      <c r="H29" s="446"/>
      <c r="I29" s="446"/>
      <c r="J29" s="446"/>
      <c r="K29" s="446"/>
      <c r="L29" s="412"/>
    </row>
    <row r="30" spans="1:12">
      <c r="A30" s="412"/>
      <c r="B30" s="456" t="s">
        <v>627</v>
      </c>
      <c r="C30" s="357">
        <f>C28</f>
        <v>0</v>
      </c>
      <c r="D30" s="360"/>
      <c r="E30" s="351">
        <f t="shared" si="1"/>
        <v>0</v>
      </c>
      <c r="F30" s="352"/>
      <c r="G30" s="448"/>
      <c r="H30" s="446"/>
      <c r="I30" s="446"/>
      <c r="J30" s="446"/>
      <c r="K30" s="446"/>
      <c r="L30" s="412"/>
    </row>
    <row r="31" spans="1:12">
      <c r="A31" s="412"/>
      <c r="B31" s="458" t="s">
        <v>628</v>
      </c>
      <c r="C31" s="354">
        <f>C29</f>
        <v>0</v>
      </c>
      <c r="D31" s="360"/>
      <c r="E31" s="351">
        <f t="shared" si="1"/>
        <v>0</v>
      </c>
      <c r="F31" s="352"/>
      <c r="G31" s="446"/>
      <c r="H31" s="446"/>
      <c r="I31" s="446"/>
      <c r="J31" s="446"/>
      <c r="K31" s="446"/>
      <c r="L31" s="412"/>
    </row>
    <row r="32" spans="1:12">
      <c r="A32" s="412"/>
      <c r="B32" s="458" t="s">
        <v>477</v>
      </c>
      <c r="C32" s="354">
        <f>(C4+C6+C5)*C2</f>
        <v>0</v>
      </c>
      <c r="D32" s="360"/>
      <c r="E32" s="351">
        <f t="shared" si="1"/>
        <v>0</v>
      </c>
      <c r="F32" s="352"/>
      <c r="G32" s="415"/>
      <c r="H32" s="446"/>
      <c r="I32" s="446"/>
      <c r="J32" s="446"/>
      <c r="K32" s="446"/>
      <c r="L32" s="412"/>
    </row>
    <row r="33" spans="1:12">
      <c r="A33" s="412"/>
      <c r="B33" s="456" t="s">
        <v>474</v>
      </c>
      <c r="C33" s="349">
        <f>C5*C2</f>
        <v>0</v>
      </c>
      <c r="D33" s="360"/>
      <c r="E33" s="351">
        <f t="shared" si="1"/>
        <v>0</v>
      </c>
      <c r="F33" s="352"/>
      <c r="G33" s="415"/>
      <c r="H33" s="446"/>
      <c r="I33" s="446"/>
      <c r="J33" s="446"/>
      <c r="K33" s="446"/>
      <c r="L33" s="412"/>
    </row>
    <row r="34" spans="1:12">
      <c r="A34" s="412"/>
      <c r="B34" s="458" t="s">
        <v>401</v>
      </c>
      <c r="C34" s="354">
        <f>(C16+C17)*C2*(C4+C5+C6)</f>
        <v>0</v>
      </c>
      <c r="D34" s="360"/>
      <c r="E34" s="351">
        <f t="shared" si="1"/>
        <v>0</v>
      </c>
      <c r="F34" s="352"/>
      <c r="G34" s="415"/>
      <c r="H34" s="446"/>
      <c r="I34" s="446"/>
      <c r="J34" s="446"/>
      <c r="K34" s="446"/>
      <c r="L34" s="412"/>
    </row>
    <row r="35" spans="1:12">
      <c r="A35" s="412"/>
      <c r="B35" s="458" t="s">
        <v>402</v>
      </c>
      <c r="C35" s="354">
        <f>C17*C2*(C4+C5+C6)</f>
        <v>0</v>
      </c>
      <c r="D35" s="360"/>
      <c r="E35" s="351">
        <f t="shared" si="1"/>
        <v>0</v>
      </c>
      <c r="F35" s="352"/>
      <c r="G35" s="415"/>
      <c r="H35" s="446"/>
      <c r="I35" s="446"/>
      <c r="J35" s="446"/>
      <c r="K35" s="446"/>
      <c r="L35" s="412"/>
    </row>
    <row r="36" spans="1:12">
      <c r="A36" s="412"/>
      <c r="B36" s="456" t="s">
        <v>525</v>
      </c>
      <c r="C36" s="354">
        <f>C2*C4</f>
        <v>0</v>
      </c>
      <c r="D36" s="360"/>
      <c r="E36" s="351">
        <f t="shared" si="1"/>
        <v>0</v>
      </c>
      <c r="F36" s="352"/>
      <c r="G36" s="446"/>
      <c r="H36" s="446"/>
      <c r="I36" s="446"/>
      <c r="J36" s="446"/>
      <c r="K36" s="446"/>
      <c r="L36" s="412"/>
    </row>
    <row r="37" spans="1:12">
      <c r="A37" s="412"/>
      <c r="B37" s="456" t="s">
        <v>451</v>
      </c>
      <c r="C37" s="354">
        <f>C2*C5</f>
        <v>0</v>
      </c>
      <c r="D37" s="360"/>
      <c r="E37" s="351">
        <f t="shared" si="1"/>
        <v>0</v>
      </c>
      <c r="F37" s="352"/>
      <c r="G37" s="446"/>
      <c r="H37" s="446"/>
      <c r="I37" s="446"/>
      <c r="J37" s="446"/>
      <c r="K37" s="446"/>
      <c r="L37" s="412"/>
    </row>
    <row r="38" spans="1:12">
      <c r="A38" s="412"/>
      <c r="B38" s="456" t="s">
        <v>450</v>
      </c>
      <c r="C38" s="349">
        <f>C2*C6</f>
        <v>0</v>
      </c>
      <c r="D38" s="360"/>
      <c r="E38" s="351">
        <f t="shared" si="1"/>
        <v>0</v>
      </c>
      <c r="F38" s="352"/>
      <c r="G38" s="446"/>
      <c r="H38" s="446"/>
      <c r="I38" s="446"/>
      <c r="J38" s="446"/>
      <c r="K38" s="446"/>
      <c r="L38" s="412"/>
    </row>
    <row r="39" spans="1:12">
      <c r="A39" s="412"/>
      <c r="B39" s="456" t="s">
        <v>366</v>
      </c>
      <c r="C39" s="349">
        <f>(C4+C6+C5)*C2</f>
        <v>0</v>
      </c>
      <c r="D39" s="360"/>
      <c r="E39" s="351">
        <f t="shared" si="1"/>
        <v>0</v>
      </c>
      <c r="F39" s="352"/>
      <c r="G39" s="446"/>
      <c r="H39" s="446"/>
      <c r="I39" s="446"/>
      <c r="J39" s="446"/>
      <c r="K39" s="446"/>
      <c r="L39" s="412"/>
    </row>
    <row r="40" spans="1:12">
      <c r="A40" s="412"/>
      <c r="B40" s="458" t="s">
        <v>403</v>
      </c>
      <c r="C40" s="354">
        <f>C4+C6+C5</f>
        <v>0</v>
      </c>
      <c r="D40" s="360"/>
      <c r="E40" s="351">
        <f t="shared" si="1"/>
        <v>0</v>
      </c>
      <c r="F40" s="352"/>
      <c r="G40" s="446"/>
      <c r="H40" s="446"/>
      <c r="I40" s="446"/>
      <c r="J40" s="446"/>
      <c r="K40" s="446"/>
      <c r="L40" s="412"/>
    </row>
    <row r="41" spans="1:12">
      <c r="A41" s="412"/>
      <c r="B41" s="458" t="s">
        <v>471</v>
      </c>
      <c r="C41" s="354">
        <f>C6</f>
        <v>0</v>
      </c>
      <c r="D41" s="360">
        <v>1</v>
      </c>
      <c r="E41" s="351">
        <f t="shared" si="1"/>
        <v>0</v>
      </c>
      <c r="F41" s="352"/>
      <c r="G41" s="446"/>
      <c r="H41" s="446"/>
      <c r="I41" s="446"/>
      <c r="J41" s="446"/>
      <c r="K41" s="446"/>
      <c r="L41" s="412"/>
    </row>
    <row r="42" spans="1:12">
      <c r="A42" s="412"/>
      <c r="B42" s="458" t="s">
        <v>367</v>
      </c>
      <c r="C42" s="354">
        <f>C6</f>
        <v>0</v>
      </c>
      <c r="D42" s="360"/>
      <c r="E42" s="351">
        <f t="shared" si="1"/>
        <v>0</v>
      </c>
      <c r="F42" s="352"/>
      <c r="G42" s="446"/>
      <c r="H42" s="446"/>
      <c r="I42" s="446"/>
      <c r="J42" s="446"/>
      <c r="K42" s="446"/>
      <c r="L42" s="412"/>
    </row>
    <row r="43" spans="1:12">
      <c r="A43" s="412"/>
      <c r="B43" s="458" t="s">
        <v>368</v>
      </c>
      <c r="C43" s="354">
        <f>(C4+C6+C5)*2</f>
        <v>0</v>
      </c>
      <c r="D43" s="360"/>
      <c r="E43" s="351">
        <f t="shared" si="1"/>
        <v>0</v>
      </c>
      <c r="F43" s="352"/>
      <c r="G43" s="446"/>
      <c r="H43" s="446"/>
      <c r="I43" s="446"/>
      <c r="J43" s="446"/>
      <c r="K43" s="446"/>
      <c r="L43" s="412"/>
    </row>
    <row r="44" spans="1:12">
      <c r="A44" s="412"/>
      <c r="B44" s="458" t="s">
        <v>480</v>
      </c>
      <c r="C44" s="354">
        <f>(C4+C6)*C2</f>
        <v>0</v>
      </c>
      <c r="D44" s="360"/>
      <c r="E44" s="351">
        <f t="shared" si="1"/>
        <v>0</v>
      </c>
      <c r="F44" s="352"/>
      <c r="G44" s="446"/>
      <c r="H44" s="446"/>
      <c r="I44" s="446"/>
      <c r="J44" s="446"/>
      <c r="K44" s="446"/>
      <c r="L44" s="412"/>
    </row>
    <row r="45" spans="1:12">
      <c r="A45" s="412"/>
      <c r="B45" s="459" t="s">
        <v>454</v>
      </c>
      <c r="C45" s="406">
        <f>C5+C4</f>
        <v>0</v>
      </c>
      <c r="D45" s="360"/>
      <c r="E45" s="351">
        <f t="shared" si="1"/>
        <v>0</v>
      </c>
      <c r="F45" s="352"/>
      <c r="G45" s="446"/>
      <c r="H45" s="446"/>
      <c r="I45" s="446"/>
      <c r="J45" s="446"/>
      <c r="K45" s="446"/>
      <c r="L45" s="412"/>
    </row>
    <row r="46" spans="1:12">
      <c r="A46" s="412"/>
      <c r="B46" s="459" t="s">
        <v>375</v>
      </c>
      <c r="C46" s="406">
        <f>C8+C7*(C4+C5)</f>
        <v>0</v>
      </c>
      <c r="D46" s="360"/>
      <c r="E46" s="351">
        <f t="shared" si="1"/>
        <v>0</v>
      </c>
      <c r="F46" s="352"/>
      <c r="G46" s="446"/>
      <c r="H46" s="446"/>
      <c r="I46" s="446"/>
      <c r="J46" s="446"/>
      <c r="K46" s="446"/>
      <c r="L46" s="412"/>
    </row>
    <row r="47" spans="1:12">
      <c r="A47" s="412"/>
      <c r="B47" s="459" t="s">
        <v>496</v>
      </c>
      <c r="C47" s="406">
        <f>C8*C5</f>
        <v>0</v>
      </c>
      <c r="D47" s="360"/>
      <c r="E47" s="351">
        <f t="shared" si="1"/>
        <v>0</v>
      </c>
      <c r="F47" s="352"/>
      <c r="G47" s="446"/>
      <c r="H47" s="446"/>
      <c r="I47" s="446"/>
      <c r="J47" s="446"/>
      <c r="K47" s="446"/>
      <c r="L47" s="412"/>
    </row>
    <row r="48" spans="1:12">
      <c r="A48" s="412"/>
      <c r="B48" s="459" t="s">
        <v>377</v>
      </c>
      <c r="C48" s="406">
        <f>C9*C6</f>
        <v>0</v>
      </c>
      <c r="D48" s="360"/>
      <c r="E48" s="351">
        <f t="shared" si="1"/>
        <v>0</v>
      </c>
      <c r="F48" s="352"/>
      <c r="G48" s="446"/>
      <c r="H48" s="446"/>
      <c r="I48" s="446"/>
      <c r="J48" s="446"/>
      <c r="K48" s="446"/>
      <c r="L48" s="412"/>
    </row>
    <row r="49" spans="1:12">
      <c r="A49" s="412"/>
      <c r="B49" s="459" t="s">
        <v>378</v>
      </c>
      <c r="C49" s="406">
        <f>C9*C6</f>
        <v>0</v>
      </c>
      <c r="D49" s="360"/>
      <c r="E49" s="351">
        <f t="shared" si="1"/>
        <v>0</v>
      </c>
      <c r="F49" s="352"/>
      <c r="G49" s="446"/>
      <c r="H49" s="446"/>
      <c r="I49" s="446"/>
      <c r="J49" s="446"/>
      <c r="K49" s="446"/>
      <c r="L49" s="412"/>
    </row>
    <row r="50" spans="1:12">
      <c r="A50" s="412"/>
      <c r="B50" s="459" t="s">
        <v>380</v>
      </c>
      <c r="C50" s="406">
        <f>C11*C5</f>
        <v>0</v>
      </c>
      <c r="D50" s="360"/>
      <c r="E50" s="351">
        <f t="shared" si="1"/>
        <v>0</v>
      </c>
      <c r="F50" s="352"/>
      <c r="G50" s="446"/>
      <c r="H50" s="446"/>
      <c r="I50" s="446"/>
      <c r="J50" s="446"/>
      <c r="K50" s="446"/>
      <c r="L50" s="412"/>
    </row>
    <row r="51" spans="1:12">
      <c r="A51" s="412"/>
      <c r="B51" s="459" t="s">
        <v>529</v>
      </c>
      <c r="C51" s="406">
        <f>C11+C10*(C4+C5)</f>
        <v>0</v>
      </c>
      <c r="D51" s="360"/>
      <c r="E51" s="351">
        <f t="shared" si="1"/>
        <v>0</v>
      </c>
      <c r="F51" s="352"/>
      <c r="G51" s="446"/>
      <c r="H51" s="446"/>
      <c r="I51" s="446"/>
      <c r="J51" s="446"/>
      <c r="K51" s="446"/>
      <c r="L51" s="412"/>
    </row>
    <row r="52" spans="1:12" hidden="1">
      <c r="A52" s="412"/>
      <c r="B52" s="459" t="s">
        <v>528</v>
      </c>
      <c r="C52" s="406">
        <f>(C7+C10)*C4</f>
        <v>0</v>
      </c>
      <c r="D52" s="360"/>
      <c r="E52" s="351">
        <f t="shared" si="1"/>
        <v>0</v>
      </c>
      <c r="F52" s="352"/>
      <c r="G52" s="446"/>
      <c r="H52" s="446"/>
      <c r="I52" s="446"/>
      <c r="J52" s="446"/>
      <c r="K52" s="446"/>
      <c r="L52" s="412"/>
    </row>
    <row r="53" spans="1:12">
      <c r="A53" s="412"/>
      <c r="B53" s="459" t="s">
        <v>386</v>
      </c>
      <c r="C53" s="406">
        <f>C12*C6</f>
        <v>0</v>
      </c>
      <c r="D53" s="360"/>
      <c r="E53" s="351">
        <f t="shared" si="1"/>
        <v>0</v>
      </c>
      <c r="F53" s="352"/>
      <c r="G53" s="446"/>
      <c r="H53" s="446"/>
      <c r="I53" s="446"/>
      <c r="J53" s="446"/>
      <c r="K53" s="446"/>
      <c r="L53" s="412"/>
    </row>
    <row r="54" spans="1:12">
      <c r="A54" s="412"/>
      <c r="B54" s="154" t="s">
        <v>145</v>
      </c>
      <c r="C54" s="406">
        <f>C19</f>
        <v>0</v>
      </c>
      <c r="D54" s="728"/>
      <c r="E54" s="407">
        <f t="shared" si="1"/>
        <v>0</v>
      </c>
      <c r="F54" s="352"/>
      <c r="G54" s="446"/>
      <c r="H54" s="446"/>
      <c r="I54" s="446"/>
      <c r="J54" s="446"/>
      <c r="K54" s="446"/>
      <c r="L54" s="412"/>
    </row>
    <row r="55" spans="1:12">
      <c r="A55" s="412"/>
      <c r="B55" s="154" t="s">
        <v>148</v>
      </c>
      <c r="C55" s="406">
        <f>C18</f>
        <v>0</v>
      </c>
      <c r="D55" s="728"/>
      <c r="E55" s="407">
        <f t="shared" si="1"/>
        <v>0</v>
      </c>
      <c r="F55" s="352"/>
      <c r="G55" s="446"/>
      <c r="H55" s="446"/>
      <c r="I55" s="446"/>
      <c r="J55" s="446"/>
      <c r="K55" s="446"/>
      <c r="L55" s="412"/>
    </row>
    <row r="56" spans="1:12">
      <c r="A56" s="412"/>
      <c r="B56" s="23" t="s">
        <v>689</v>
      </c>
      <c r="C56" s="406">
        <f>C20</f>
        <v>0</v>
      </c>
      <c r="D56" s="728"/>
      <c r="E56" s="407">
        <f t="shared" si="1"/>
        <v>0</v>
      </c>
      <c r="F56" s="352"/>
      <c r="G56" s="446"/>
      <c r="H56" s="446"/>
      <c r="I56" s="446"/>
      <c r="J56" s="446"/>
      <c r="K56" s="446"/>
      <c r="L56" s="412"/>
    </row>
    <row r="57" spans="1:12" ht="12" thickBot="1">
      <c r="A57" s="412"/>
      <c r="B57" s="461" t="s">
        <v>387</v>
      </c>
      <c r="C57" s="409">
        <f>C12*C6</f>
        <v>0</v>
      </c>
      <c r="D57" s="480"/>
      <c r="E57" s="411">
        <f t="shared" si="1"/>
        <v>0</v>
      </c>
      <c r="F57" s="352"/>
      <c r="G57" s="446"/>
      <c r="H57" s="446"/>
      <c r="I57" s="446"/>
      <c r="J57" s="446"/>
      <c r="K57" s="446"/>
      <c r="L57" s="412"/>
    </row>
    <row r="58" spans="1:12" ht="13.5" thickBot="1">
      <c r="A58" s="412"/>
      <c r="B58" s="446"/>
      <c r="C58" s="446"/>
      <c r="D58" s="462" t="s">
        <v>9</v>
      </c>
      <c r="E58" s="481">
        <f>SUMIF(E24:E57,"&gt;0",E24:E57)</f>
        <v>0</v>
      </c>
      <c r="F58" s="506"/>
      <c r="G58" s="446"/>
      <c r="H58" s="460"/>
      <c r="I58" s="446"/>
      <c r="J58" s="446"/>
      <c r="K58" s="446"/>
      <c r="L58" s="412"/>
    </row>
    <row r="59" spans="1:12" ht="11.25" customHeight="1">
      <c r="A59" s="412"/>
      <c r="B59" s="446"/>
      <c r="C59" s="446"/>
      <c r="D59" s="446"/>
      <c r="E59" s="446"/>
      <c r="F59" s="446"/>
      <c r="G59" s="412"/>
      <c r="H59" s="412"/>
      <c r="I59" s="412"/>
      <c r="J59" s="412"/>
      <c r="K59" s="412"/>
      <c r="L59" s="412"/>
    </row>
    <row r="60" spans="1:12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</row>
    <row r="61" spans="1:12" ht="11.25" customHeight="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</row>
    <row r="62" spans="1:12" ht="11.25" customHeight="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</row>
    <row r="63" spans="1:12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</row>
    <row r="64" spans="1:12" ht="11.25" customHeight="1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2:6" ht="11.25" customHeight="1">
      <c r="B65" s="412"/>
      <c r="C65" s="412"/>
      <c r="D65" s="412"/>
      <c r="E65" s="412"/>
      <c r="F65" s="412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462" priority="11" operator="equal">
      <formula>"ДА"</formula>
    </cfRule>
    <cfRule type="cellIs" dxfId="461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60" priority="14" operator="greaterThan">
      <formula>0</formula>
    </cfRule>
  </conditionalFormatting>
  <conditionalFormatting sqref="C13">
    <cfRule type="cellIs" dxfId="459" priority="10" operator="greaterThan">
      <formula>0</formula>
    </cfRule>
  </conditionalFormatting>
  <conditionalFormatting sqref="C2:C13 C15:C17">
    <cfRule type="cellIs" dxfId="458" priority="9" operator="greaterThan">
      <formula>0</formula>
    </cfRule>
  </conditionalFormatting>
  <conditionalFormatting sqref="C57:E57 C25:E53">
    <cfRule type="cellIs" dxfId="457" priority="8" operator="greaterThan">
      <formula>0</formula>
    </cfRule>
  </conditionalFormatting>
  <conditionalFormatting sqref="E58">
    <cfRule type="cellIs" dxfId="456" priority="5" operator="greaterThan">
      <formula>0</formula>
    </cfRule>
    <cfRule type="cellIs" dxfId="455" priority="6" operator="greaterThan">
      <formula>0</formula>
    </cfRule>
    <cfRule type="cellIs" dxfId="454" priority="7" operator="greaterThan">
      <formula>0</formula>
    </cfRule>
  </conditionalFormatting>
  <conditionalFormatting sqref="C18:C20">
    <cfRule type="cellIs" dxfId="453" priority="4" operator="greaterThan">
      <formula>0</formula>
    </cfRule>
  </conditionalFormatting>
  <conditionalFormatting sqref="C54:C56">
    <cfRule type="cellIs" dxfId="452" priority="2" operator="greaterThan">
      <formula>0</formula>
    </cfRule>
  </conditionalFormatting>
  <conditionalFormatting sqref="C54:E56">
    <cfRule type="cellIs" dxfId="451" priority="3" operator="greaterThan">
      <formula>0</formula>
    </cfRule>
  </conditionalFormatting>
  <conditionalFormatting sqref="C14">
    <cfRule type="cellIs" dxfId="4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12"/>
      <c r="B1" s="1164"/>
      <c r="C1" s="1165"/>
      <c r="D1" s="1165"/>
      <c r="E1" s="1164"/>
      <c r="F1" s="1165"/>
      <c r="G1" s="1165"/>
      <c r="H1" s="1164"/>
      <c r="I1" s="1165"/>
      <c r="J1" s="1165"/>
      <c r="K1" s="1164"/>
      <c r="L1" s="1165"/>
      <c r="M1" s="1165"/>
      <c r="N1" s="1096"/>
      <c r="O1" s="1097"/>
      <c r="P1" s="1097"/>
    </row>
    <row r="2" spans="1:16" ht="11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91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6" ht="12.75" thickBot="1">
      <c r="A3" s="412"/>
      <c r="B3" s="419" t="s">
        <v>1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12"/>
      <c r="M3" s="412"/>
    </row>
    <row r="4" spans="1:16" ht="12" customHeight="1">
      <c r="A4" s="412"/>
      <c r="B4" s="426" t="s">
        <v>530</v>
      </c>
      <c r="C4" s="469">
        <v>0</v>
      </c>
      <c r="D4" s="1166" t="s">
        <v>597</v>
      </c>
      <c r="E4" s="1167"/>
      <c r="F4" s="1189"/>
      <c r="G4" s="493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12"/>
      <c r="M4" s="412"/>
    </row>
    <row r="5" spans="1:16" ht="12">
      <c r="A5" s="412"/>
      <c r="B5" s="426" t="s">
        <v>396</v>
      </c>
      <c r="C5" s="469">
        <v>0</v>
      </c>
      <c r="D5" s="1186"/>
      <c r="E5" s="1172"/>
      <c r="F5" s="1190"/>
      <c r="G5" s="412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  <c r="M5" s="412"/>
    </row>
    <row r="6" spans="1:16" ht="12.75" thickBot="1">
      <c r="A6" s="412"/>
      <c r="B6" s="521" t="s">
        <v>392</v>
      </c>
      <c r="C6" s="520">
        <v>0</v>
      </c>
      <c r="D6" s="1186"/>
      <c r="E6" s="1172"/>
      <c r="F6" s="1190"/>
      <c r="G6" s="41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12"/>
      <c r="M6" s="412"/>
    </row>
    <row r="7" spans="1:16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1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12"/>
      <c r="M7" s="412"/>
    </row>
    <row r="8" spans="1:16" ht="12">
      <c r="A8" s="412"/>
      <c r="B8" s="426" t="s">
        <v>490</v>
      </c>
      <c r="C8" s="469">
        <v>0</v>
      </c>
      <c r="D8" s="431" t="s">
        <v>287</v>
      </c>
      <c r="E8" s="432" t="s">
        <v>255</v>
      </c>
      <c r="F8" s="1175"/>
      <c r="G8" s="530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  <c r="M8" s="412"/>
    </row>
    <row r="9" spans="1:16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530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  <c r="M9" s="412"/>
    </row>
    <row r="10" spans="1:16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530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  <c r="M10" s="412"/>
    </row>
    <row r="11" spans="1:16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12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12"/>
      <c r="M11" s="412"/>
    </row>
    <row r="12" spans="1:16" ht="12.75" thickBot="1">
      <c r="A12" s="412"/>
      <c r="B12" s="419" t="s">
        <v>493</v>
      </c>
      <c r="C12" s="470">
        <v>0</v>
      </c>
      <c r="D12" s="494" t="s">
        <v>287</v>
      </c>
      <c r="E12" s="495" t="s">
        <v>255</v>
      </c>
      <c r="F12" s="1176"/>
      <c r="G12" s="412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12"/>
      <c r="M12" s="412"/>
    </row>
    <row r="13" spans="1:16" ht="12.75" thickBot="1">
      <c r="A13" s="412"/>
      <c r="B13" s="521" t="s">
        <v>589</v>
      </c>
      <c r="C13" s="520">
        <v>0</v>
      </c>
      <c r="D13" s="522" t="s">
        <v>619</v>
      </c>
      <c r="E13" s="523" t="s">
        <v>620</v>
      </c>
      <c r="F13" s="524" t="s">
        <v>621</v>
      </c>
      <c r="G13" s="412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12"/>
      <c r="M13" s="412"/>
    </row>
    <row r="14" spans="1:16" ht="12" customHeight="1">
      <c r="A14" s="412"/>
      <c r="B14" s="414" t="s">
        <v>397</v>
      </c>
      <c r="C14" s="471">
        <v>0</v>
      </c>
      <c r="D14" s="427" t="s">
        <v>287</v>
      </c>
      <c r="E14" s="428" t="s">
        <v>255</v>
      </c>
      <c r="F14" s="1187" t="s">
        <v>597</v>
      </c>
      <c r="G14" s="412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  <c r="M14" s="412"/>
    </row>
    <row r="15" spans="1:16" ht="12.75" thickBot="1">
      <c r="A15" s="412"/>
      <c r="B15" s="419" t="s">
        <v>398</v>
      </c>
      <c r="C15" s="470">
        <v>0</v>
      </c>
      <c r="D15" s="494" t="s">
        <v>287</v>
      </c>
      <c r="E15" s="495" t="s">
        <v>255</v>
      </c>
      <c r="F15" s="1188"/>
      <c r="G15" s="412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  <c r="M15" s="412"/>
    </row>
    <row r="16" spans="1:16" ht="12.75" thickBot="1">
      <c r="A16" s="412"/>
      <c r="B16" s="447" t="s">
        <v>404</v>
      </c>
      <c r="C16" s="473">
        <v>0</v>
      </c>
      <c r="D16" s="531" t="s">
        <v>409</v>
      </c>
      <c r="E16" s="435" t="s">
        <v>410</v>
      </c>
      <c r="F16" s="476"/>
      <c r="G16" s="412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  <c r="M16" s="412"/>
    </row>
    <row r="17" spans="1:13" ht="12">
      <c r="A17" s="496"/>
      <c r="B17" s="414" t="s">
        <v>147</v>
      </c>
      <c r="C17" s="471">
        <v>0</v>
      </c>
      <c r="D17" s="1177" t="s">
        <v>686</v>
      </c>
      <c r="E17" s="1178"/>
      <c r="F17" s="1179"/>
      <c r="G17" s="412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  <c r="M17" s="412"/>
    </row>
    <row r="18" spans="1:13" ht="12">
      <c r="A18" s="496"/>
      <c r="B18" s="424" t="s">
        <v>146</v>
      </c>
      <c r="C18" s="468">
        <v>0</v>
      </c>
      <c r="D18" s="1180" t="s">
        <v>687</v>
      </c>
      <c r="E18" s="1181"/>
      <c r="F18" s="1182"/>
      <c r="G18" s="412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  <c r="M18" s="412"/>
    </row>
    <row r="19" spans="1:13" ht="12.75" thickBot="1">
      <c r="A19" s="496"/>
      <c r="B19" s="419" t="s">
        <v>143</v>
      </c>
      <c r="C19" s="470">
        <v>0</v>
      </c>
      <c r="D19" s="1183" t="s">
        <v>688</v>
      </c>
      <c r="E19" s="1184"/>
      <c r="F19" s="1185"/>
      <c r="G19" s="412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  <c r="M19" s="412"/>
    </row>
    <row r="20" spans="1:13" ht="12">
      <c r="A20" s="496"/>
      <c r="B20" s="449"/>
      <c r="C20" s="449"/>
      <c r="D20" s="449"/>
      <c r="E20" s="448"/>
      <c r="F20" s="446"/>
      <c r="G20" s="412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  <c r="M20" s="412"/>
    </row>
    <row r="21" spans="1:13" ht="12.75" thickBot="1">
      <c r="A21" s="496"/>
      <c r="B21" s="449"/>
      <c r="C21" s="449"/>
      <c r="D21" s="449"/>
      <c r="E21" s="448"/>
      <c r="F21" s="446"/>
      <c r="G21" s="412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  <c r="M21" s="412"/>
    </row>
    <row r="22" spans="1:13" ht="12.75">
      <c r="A22" s="412"/>
      <c r="B22" s="451" t="s">
        <v>5</v>
      </c>
      <c r="C22" s="452" t="s">
        <v>0</v>
      </c>
      <c r="D22" s="453" t="s">
        <v>4</v>
      </c>
      <c r="E22" s="454" t="s">
        <v>8</v>
      </c>
      <c r="F22" s="448"/>
      <c r="G22" s="412"/>
      <c r="H22" s="412"/>
      <c r="I22" s="412"/>
      <c r="J22" s="412"/>
      <c r="K22" s="412"/>
      <c r="L22" s="412"/>
      <c r="M22" s="412"/>
    </row>
    <row r="23" spans="1:13">
      <c r="A23" s="412"/>
      <c r="B23" s="456" t="s">
        <v>399</v>
      </c>
      <c r="C23" s="349">
        <f>C14*2*(C4+C5+C6)</f>
        <v>0</v>
      </c>
      <c r="D23" s="360"/>
      <c r="E23" s="351">
        <f>C23*D23</f>
        <v>0</v>
      </c>
      <c r="F23" s="446"/>
      <c r="G23" s="412"/>
      <c r="H23" s="412"/>
      <c r="I23" s="412"/>
      <c r="J23" s="412"/>
      <c r="K23" s="412"/>
      <c r="L23" s="412"/>
      <c r="M23" s="412"/>
    </row>
    <row r="24" spans="1:13">
      <c r="A24" s="412"/>
      <c r="B24" s="456" t="s">
        <v>400</v>
      </c>
      <c r="C24" s="349">
        <f>C15*(C4+C5+C6)</f>
        <v>0</v>
      </c>
      <c r="D24" s="360"/>
      <c r="E24" s="351">
        <f t="shared" ref="E24:E57" si="1">C24*D24</f>
        <v>0</v>
      </c>
      <c r="F24" s="449"/>
      <c r="G24" s="412"/>
      <c r="H24" s="412"/>
      <c r="I24" s="412"/>
      <c r="J24" s="412"/>
      <c r="K24" s="412"/>
      <c r="L24" s="412"/>
      <c r="M24" s="412"/>
    </row>
    <row r="25" spans="1:13">
      <c r="A25" s="412"/>
      <c r="B25" s="458" t="s">
        <v>479</v>
      </c>
      <c r="C25" s="354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60"/>
      <c r="E25" s="351">
        <f t="shared" si="1"/>
        <v>0</v>
      </c>
      <c r="F25" s="446"/>
      <c r="G25" s="412"/>
      <c r="H25" s="412"/>
      <c r="I25" s="412"/>
      <c r="J25" s="412"/>
      <c r="K25" s="412"/>
      <c r="L25" s="412"/>
      <c r="M25" s="412"/>
    </row>
    <row r="26" spans="1:13">
      <c r="A26" s="412"/>
      <c r="B26" s="458" t="s">
        <v>721</v>
      </c>
      <c r="C26" s="354">
        <f>(C4+C5+C6)*2</f>
        <v>0</v>
      </c>
      <c r="D26" s="360"/>
      <c r="E26" s="351">
        <f t="shared" si="1"/>
        <v>0</v>
      </c>
      <c r="F26" s="446"/>
      <c r="G26" s="412"/>
      <c r="H26" s="412"/>
      <c r="I26" s="412"/>
      <c r="J26" s="412"/>
      <c r="K26" s="412"/>
      <c r="L26" s="412"/>
      <c r="M26" s="412"/>
    </row>
    <row r="27" spans="1:13">
      <c r="A27" s="412"/>
      <c r="B27" s="458" t="s">
        <v>477</v>
      </c>
      <c r="C27" s="354">
        <f>(C4+C6+C5)*C2</f>
        <v>0</v>
      </c>
      <c r="D27" s="360"/>
      <c r="E27" s="351">
        <f t="shared" si="1"/>
        <v>0</v>
      </c>
      <c r="F27" s="448"/>
      <c r="G27" s="412"/>
      <c r="H27" s="412"/>
      <c r="I27" s="412"/>
      <c r="J27" s="412"/>
      <c r="K27" s="412"/>
      <c r="L27" s="412"/>
      <c r="M27" s="412"/>
    </row>
    <row r="28" spans="1:13">
      <c r="A28" s="412"/>
      <c r="B28" s="456" t="s">
        <v>474</v>
      </c>
      <c r="C28" s="349">
        <f>C5*C2</f>
        <v>0</v>
      </c>
      <c r="D28" s="360"/>
      <c r="E28" s="351">
        <f t="shared" si="1"/>
        <v>0</v>
      </c>
      <c r="F28" s="446"/>
      <c r="G28" s="412"/>
      <c r="H28" s="412"/>
      <c r="I28" s="412"/>
      <c r="J28" s="412"/>
      <c r="K28" s="412"/>
      <c r="L28" s="412"/>
      <c r="M28" s="412"/>
    </row>
    <row r="29" spans="1:13">
      <c r="A29" s="412"/>
      <c r="B29" s="458" t="s">
        <v>401</v>
      </c>
      <c r="C29" s="354">
        <f>(C14+C15)*C2*(C4+C5+C6)</f>
        <v>0</v>
      </c>
      <c r="D29" s="360"/>
      <c r="E29" s="351">
        <f t="shared" si="1"/>
        <v>0</v>
      </c>
      <c r="F29" s="446"/>
      <c r="G29" s="412"/>
      <c r="H29" s="412"/>
      <c r="I29" s="412"/>
      <c r="J29" s="412"/>
      <c r="K29" s="412"/>
      <c r="L29" s="412"/>
      <c r="M29" s="412"/>
    </row>
    <row r="30" spans="1:13">
      <c r="A30" s="412"/>
      <c r="B30" s="458" t="s">
        <v>402</v>
      </c>
      <c r="C30" s="354">
        <f>C15*C2*(C4+C5+C6)</f>
        <v>0</v>
      </c>
      <c r="D30" s="360"/>
      <c r="E30" s="351">
        <f t="shared" si="1"/>
        <v>0</v>
      </c>
      <c r="F30" s="449"/>
      <c r="G30" s="412"/>
      <c r="H30" s="412"/>
      <c r="I30" s="412"/>
      <c r="J30" s="412"/>
      <c r="K30" s="412"/>
      <c r="L30" s="412"/>
      <c r="M30" s="412"/>
    </row>
    <row r="31" spans="1:13">
      <c r="A31" s="412"/>
      <c r="B31" s="458" t="s">
        <v>525</v>
      </c>
      <c r="C31" s="354">
        <f>C4*C2</f>
        <v>0</v>
      </c>
      <c r="D31" s="360"/>
      <c r="E31" s="351">
        <f>C31*D31</f>
        <v>0</v>
      </c>
      <c r="F31" s="449"/>
      <c r="G31" s="412"/>
      <c r="H31" s="412"/>
      <c r="I31" s="412"/>
      <c r="J31" s="412"/>
      <c r="K31" s="412"/>
      <c r="L31" s="412"/>
      <c r="M31" s="412"/>
    </row>
    <row r="32" spans="1:13">
      <c r="A32" s="412"/>
      <c r="B32" s="456" t="s">
        <v>451</v>
      </c>
      <c r="C32" s="354">
        <f>C2*C5</f>
        <v>0</v>
      </c>
      <c r="D32" s="360"/>
      <c r="E32" s="351">
        <f t="shared" si="1"/>
        <v>0</v>
      </c>
      <c r="F32" s="449"/>
      <c r="G32" s="412"/>
      <c r="H32" s="412"/>
      <c r="I32" s="412"/>
      <c r="J32" s="412"/>
      <c r="K32" s="412"/>
      <c r="L32" s="412"/>
      <c r="M32" s="412"/>
    </row>
    <row r="33" spans="1:13">
      <c r="A33" s="412"/>
      <c r="B33" s="456" t="s">
        <v>450</v>
      </c>
      <c r="C33" s="349">
        <f>C2*C6</f>
        <v>0</v>
      </c>
      <c r="D33" s="360"/>
      <c r="E33" s="351">
        <f t="shared" si="1"/>
        <v>0</v>
      </c>
      <c r="F33" s="449"/>
      <c r="G33" s="412"/>
      <c r="H33" s="412"/>
      <c r="I33" s="412"/>
      <c r="J33" s="412"/>
      <c r="K33" s="412"/>
      <c r="L33" s="412"/>
      <c r="M33" s="412"/>
    </row>
    <row r="34" spans="1:13">
      <c r="A34" s="412"/>
      <c r="B34" s="458" t="s">
        <v>828</v>
      </c>
      <c r="C34" s="354">
        <f>C6+C5+C4</f>
        <v>0</v>
      </c>
      <c r="D34" s="360"/>
      <c r="E34" s="351">
        <f t="shared" si="1"/>
        <v>0</v>
      </c>
      <c r="F34" s="446"/>
      <c r="G34" s="412"/>
      <c r="H34" s="412"/>
      <c r="I34" s="412"/>
      <c r="J34" s="412"/>
      <c r="K34" s="412"/>
      <c r="L34" s="412"/>
      <c r="M34" s="412"/>
    </row>
    <row r="35" spans="1:13">
      <c r="A35" s="412"/>
      <c r="B35" s="458" t="s">
        <v>475</v>
      </c>
      <c r="C35" s="354">
        <f>C6</f>
        <v>0</v>
      </c>
      <c r="D35" s="360">
        <v>1</v>
      </c>
      <c r="E35" s="351">
        <f t="shared" si="1"/>
        <v>0</v>
      </c>
      <c r="F35" s="446"/>
      <c r="G35" s="412"/>
      <c r="H35" s="412"/>
      <c r="I35" s="412"/>
      <c r="J35" s="412"/>
      <c r="K35" s="412"/>
      <c r="L35" s="412"/>
      <c r="M35" s="412"/>
    </row>
    <row r="36" spans="1:13">
      <c r="A36" s="412"/>
      <c r="B36" s="458" t="s">
        <v>367</v>
      </c>
      <c r="C36" s="354">
        <f>C5</f>
        <v>0</v>
      </c>
      <c r="D36" s="360"/>
      <c r="E36" s="351">
        <f t="shared" si="1"/>
        <v>0</v>
      </c>
      <c r="F36" s="446"/>
      <c r="G36" s="412"/>
      <c r="H36" s="412"/>
      <c r="I36" s="412"/>
      <c r="J36" s="412"/>
      <c r="K36" s="412"/>
      <c r="L36" s="412"/>
      <c r="M36" s="412"/>
    </row>
    <row r="37" spans="1:13">
      <c r="A37" s="412"/>
      <c r="B37" s="458" t="s">
        <v>480</v>
      </c>
      <c r="C37" s="354">
        <f>(C4+C6)*C2</f>
        <v>0</v>
      </c>
      <c r="D37" s="360"/>
      <c r="E37" s="351">
        <f t="shared" si="1"/>
        <v>0</v>
      </c>
      <c r="F37" s="446"/>
      <c r="G37" s="412"/>
      <c r="H37" s="412"/>
      <c r="I37" s="412"/>
      <c r="J37" s="412"/>
      <c r="K37" s="412"/>
      <c r="L37" s="412"/>
      <c r="M37" s="412"/>
    </row>
    <row r="38" spans="1:13">
      <c r="A38" s="412"/>
      <c r="B38" s="458" t="s">
        <v>368</v>
      </c>
      <c r="C38" s="354">
        <f>(C4+C6+C5)*4</f>
        <v>0</v>
      </c>
      <c r="D38" s="360"/>
      <c r="E38" s="351">
        <f t="shared" si="1"/>
        <v>0</v>
      </c>
      <c r="F38" s="446"/>
      <c r="G38" s="412"/>
      <c r="H38" s="412"/>
      <c r="I38" s="412"/>
      <c r="J38" s="412"/>
      <c r="K38" s="412"/>
      <c r="L38" s="412"/>
      <c r="M38" s="412"/>
    </row>
    <row r="39" spans="1:13">
      <c r="A39" s="412"/>
      <c r="B39" s="459" t="s">
        <v>454</v>
      </c>
      <c r="C39" s="406">
        <f>C5+C4</f>
        <v>0</v>
      </c>
      <c r="D39" s="360"/>
      <c r="E39" s="407">
        <f t="shared" si="1"/>
        <v>0</v>
      </c>
      <c r="F39" s="446"/>
      <c r="G39" s="412"/>
      <c r="H39" s="412"/>
      <c r="I39" s="412"/>
      <c r="J39" s="412"/>
      <c r="K39" s="412"/>
      <c r="L39" s="412"/>
      <c r="M39" s="412"/>
    </row>
    <row r="40" spans="1:13">
      <c r="A40" s="412"/>
      <c r="B40" s="459" t="s">
        <v>375</v>
      </c>
      <c r="C40" s="406">
        <f>(C7+C8)*(C4+C5)</f>
        <v>0</v>
      </c>
      <c r="D40" s="360"/>
      <c r="E40" s="407">
        <f t="shared" si="1"/>
        <v>0</v>
      </c>
      <c r="F40" s="446"/>
      <c r="G40" s="412"/>
      <c r="H40" s="412"/>
      <c r="I40" s="412"/>
      <c r="J40" s="412"/>
      <c r="K40" s="412"/>
      <c r="L40" s="412"/>
      <c r="M40" s="412"/>
    </row>
    <row r="41" spans="1:13">
      <c r="A41" s="412"/>
      <c r="B41" s="459" t="s">
        <v>497</v>
      </c>
      <c r="C41" s="406">
        <f>C8*C5</f>
        <v>0</v>
      </c>
      <c r="D41" s="360"/>
      <c r="E41" s="407">
        <f t="shared" si="1"/>
        <v>0</v>
      </c>
      <c r="F41" s="446"/>
      <c r="G41" s="412"/>
      <c r="H41" s="412"/>
      <c r="I41" s="412"/>
      <c r="J41" s="412"/>
      <c r="K41" s="412"/>
      <c r="L41" s="412"/>
      <c r="M41" s="412"/>
    </row>
    <row r="42" spans="1:13">
      <c r="A42" s="412"/>
      <c r="B42" s="459" t="s">
        <v>377</v>
      </c>
      <c r="C42" s="406">
        <f>C9*C6</f>
        <v>0</v>
      </c>
      <c r="D42" s="360"/>
      <c r="E42" s="407">
        <f t="shared" si="1"/>
        <v>0</v>
      </c>
      <c r="F42" s="446"/>
      <c r="G42" s="412"/>
      <c r="H42" s="412"/>
      <c r="I42" s="412"/>
      <c r="J42" s="412"/>
      <c r="K42" s="412"/>
      <c r="L42" s="412"/>
      <c r="M42" s="412"/>
    </row>
    <row r="43" spans="1:13">
      <c r="A43" s="412"/>
      <c r="B43" s="459" t="s">
        <v>378</v>
      </c>
      <c r="C43" s="406">
        <f>C9*C6</f>
        <v>0</v>
      </c>
      <c r="D43" s="360"/>
      <c r="E43" s="407">
        <f t="shared" si="1"/>
        <v>0</v>
      </c>
      <c r="F43" s="446"/>
      <c r="G43" s="412"/>
      <c r="H43" s="412"/>
      <c r="I43" s="412"/>
      <c r="J43" s="412"/>
      <c r="K43" s="412"/>
      <c r="L43" s="412"/>
      <c r="M43" s="412"/>
    </row>
    <row r="44" spans="1:13">
      <c r="A44" s="412"/>
      <c r="B44" s="459" t="s">
        <v>380</v>
      </c>
      <c r="C44" s="406">
        <f>C11*C5</f>
        <v>0</v>
      </c>
      <c r="D44" s="360"/>
      <c r="E44" s="407">
        <f t="shared" si="1"/>
        <v>0</v>
      </c>
      <c r="F44" s="446"/>
      <c r="G44" s="412"/>
      <c r="H44" s="412"/>
      <c r="I44" s="412"/>
      <c r="J44" s="412"/>
      <c r="K44" s="412"/>
      <c r="L44" s="412"/>
      <c r="M44" s="412"/>
    </row>
    <row r="45" spans="1:13">
      <c r="A45" s="412"/>
      <c r="B45" s="459" t="s">
        <v>529</v>
      </c>
      <c r="C45" s="406">
        <f>(C10+C11)*(C4+C5)</f>
        <v>0</v>
      </c>
      <c r="D45" s="360"/>
      <c r="E45" s="407">
        <f t="shared" si="1"/>
        <v>0</v>
      </c>
      <c r="F45" s="446"/>
      <c r="G45" s="412"/>
      <c r="H45" s="412"/>
      <c r="I45" s="412"/>
      <c r="J45" s="412"/>
      <c r="K45" s="412"/>
      <c r="L45" s="412"/>
      <c r="M45" s="412"/>
    </row>
    <row r="46" spans="1:13">
      <c r="A46" s="412"/>
      <c r="B46" s="459" t="s">
        <v>386</v>
      </c>
      <c r="C46" s="406">
        <f>C12*C6</f>
        <v>0</v>
      </c>
      <c r="D46" s="360"/>
      <c r="E46" s="407">
        <f t="shared" si="1"/>
        <v>0</v>
      </c>
      <c r="F46" s="446"/>
      <c r="G46" s="412"/>
      <c r="H46" s="412"/>
      <c r="I46" s="412"/>
      <c r="J46" s="412"/>
      <c r="K46" s="412"/>
      <c r="L46" s="412"/>
      <c r="M46" s="412"/>
    </row>
    <row r="47" spans="1:13" hidden="1">
      <c r="A47" s="412"/>
      <c r="B47" s="459" t="s">
        <v>528</v>
      </c>
      <c r="C47" s="406">
        <f>(C7+C10)*C4</f>
        <v>0</v>
      </c>
      <c r="D47" s="360"/>
      <c r="E47" s="407">
        <f>C47*D47</f>
        <v>0</v>
      </c>
      <c r="F47" s="446"/>
      <c r="G47" s="412"/>
      <c r="H47" s="412"/>
      <c r="I47" s="412"/>
      <c r="J47" s="412"/>
      <c r="K47" s="412"/>
      <c r="L47" s="412"/>
      <c r="M47" s="412"/>
    </row>
    <row r="48" spans="1:13">
      <c r="A48" s="412"/>
      <c r="B48" s="459" t="s">
        <v>387</v>
      </c>
      <c r="C48" s="406">
        <f>C12*C6</f>
        <v>0</v>
      </c>
      <c r="D48" s="360"/>
      <c r="E48" s="407">
        <f t="shared" si="1"/>
        <v>0</v>
      </c>
      <c r="F48" s="446"/>
      <c r="G48" s="412"/>
      <c r="H48" s="412"/>
      <c r="I48" s="412"/>
      <c r="J48" s="412"/>
      <c r="K48" s="412"/>
      <c r="L48" s="412"/>
      <c r="M48" s="412"/>
    </row>
    <row r="49" spans="1:13">
      <c r="A49" s="412"/>
      <c r="B49" s="458" t="s">
        <v>630</v>
      </c>
      <c r="C49" s="354">
        <f>C2*(C4+C5+C6)</f>
        <v>0</v>
      </c>
      <c r="D49" s="355"/>
      <c r="E49" s="351">
        <f t="shared" si="1"/>
        <v>0</v>
      </c>
      <c r="F49" s="446"/>
      <c r="G49" s="412"/>
      <c r="H49" s="412"/>
      <c r="I49" s="412"/>
      <c r="J49" s="412"/>
      <c r="K49" s="412"/>
      <c r="L49" s="412"/>
      <c r="M49" s="412"/>
    </row>
    <row r="50" spans="1:13">
      <c r="A50" s="412"/>
      <c r="B50" s="532" t="s">
        <v>631</v>
      </c>
      <c r="C50" s="513">
        <f>C2*(C4+C5+C6)</f>
        <v>0</v>
      </c>
      <c r="D50" s="360"/>
      <c r="E50" s="407">
        <f t="shared" si="1"/>
        <v>0</v>
      </c>
      <c r="F50" s="446"/>
      <c r="G50" s="412"/>
      <c r="H50" s="412"/>
      <c r="I50" s="412"/>
      <c r="J50" s="412"/>
      <c r="K50" s="412"/>
      <c r="L50" s="412"/>
      <c r="M50" s="412"/>
    </row>
    <row r="51" spans="1:13">
      <c r="A51" s="412"/>
      <c r="B51" s="532" t="s">
        <v>632</v>
      </c>
      <c r="C51" s="513">
        <f>C5+C6+C4</f>
        <v>0</v>
      </c>
      <c r="D51" s="360"/>
      <c r="E51" s="407">
        <f t="shared" si="1"/>
        <v>0</v>
      </c>
      <c r="F51" s="446"/>
      <c r="G51" s="412"/>
      <c r="H51" s="412"/>
      <c r="I51" s="412"/>
      <c r="J51" s="412"/>
      <c r="K51" s="412"/>
      <c r="L51" s="412"/>
      <c r="M51" s="412"/>
    </row>
    <row r="52" spans="1:13">
      <c r="A52" s="412"/>
      <c r="B52" s="532" t="s">
        <v>633</v>
      </c>
      <c r="C52" s="513">
        <f>C4+C5+C6</f>
        <v>0</v>
      </c>
      <c r="D52" s="360"/>
      <c r="E52" s="407">
        <f t="shared" si="1"/>
        <v>0</v>
      </c>
      <c r="F52" s="446"/>
      <c r="G52" s="412"/>
      <c r="H52" s="412"/>
      <c r="I52" s="412"/>
      <c r="J52" s="412"/>
      <c r="K52" s="412"/>
      <c r="L52" s="412"/>
      <c r="M52" s="412"/>
    </row>
    <row r="53" spans="1:13">
      <c r="A53" s="412"/>
      <c r="B53" s="532" t="s">
        <v>455</v>
      </c>
      <c r="C53" s="513">
        <f>(C4+C5+C6)*2</f>
        <v>0</v>
      </c>
      <c r="D53" s="360"/>
      <c r="E53" s="407">
        <f t="shared" si="1"/>
        <v>0</v>
      </c>
      <c r="F53" s="446"/>
      <c r="G53" s="412"/>
      <c r="H53" s="412"/>
      <c r="I53" s="412"/>
      <c r="J53" s="412"/>
      <c r="K53" s="412"/>
      <c r="L53" s="412"/>
      <c r="M53" s="412"/>
    </row>
    <row r="54" spans="1:13">
      <c r="A54" s="412"/>
      <c r="B54" s="532" t="s">
        <v>145</v>
      </c>
      <c r="C54" s="513">
        <f>C18</f>
        <v>0</v>
      </c>
      <c r="D54" s="529"/>
      <c r="E54" s="407">
        <f t="shared" si="1"/>
        <v>0</v>
      </c>
      <c r="F54" s="446"/>
      <c r="G54" s="412"/>
      <c r="H54" s="412"/>
      <c r="I54" s="412"/>
      <c r="J54" s="412"/>
      <c r="K54" s="412"/>
      <c r="L54" s="412"/>
      <c r="M54" s="412"/>
    </row>
    <row r="55" spans="1:13">
      <c r="A55" s="412"/>
      <c r="B55" s="532" t="s">
        <v>148</v>
      </c>
      <c r="C55" s="513">
        <f>C17</f>
        <v>0</v>
      </c>
      <c r="D55" s="529"/>
      <c r="E55" s="407">
        <f t="shared" si="1"/>
        <v>0</v>
      </c>
      <c r="F55" s="446"/>
      <c r="G55" s="412"/>
      <c r="H55" s="412"/>
      <c r="I55" s="412"/>
      <c r="J55" s="412"/>
      <c r="K55" s="412"/>
      <c r="L55" s="412"/>
      <c r="M55" s="412"/>
    </row>
    <row r="56" spans="1:13">
      <c r="A56" s="412"/>
      <c r="B56" s="532" t="s">
        <v>689</v>
      </c>
      <c r="C56" s="513">
        <f>C19</f>
        <v>0</v>
      </c>
      <c r="D56" s="529"/>
      <c r="E56" s="407">
        <f t="shared" si="1"/>
        <v>0</v>
      </c>
      <c r="F56" s="446"/>
      <c r="G56" s="412"/>
      <c r="H56" s="412"/>
      <c r="I56" s="412"/>
      <c r="J56" s="412"/>
      <c r="K56" s="412"/>
      <c r="L56" s="412"/>
      <c r="M56" s="412"/>
    </row>
    <row r="57" spans="1:13" ht="12" thickBot="1">
      <c r="A57" s="412"/>
      <c r="B57" s="533" t="s">
        <v>634</v>
      </c>
      <c r="C57" s="515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80"/>
      <c r="E57" s="411">
        <f t="shared" si="1"/>
        <v>0</v>
      </c>
      <c r="F57" s="446"/>
      <c r="G57" s="412"/>
      <c r="H57" s="412"/>
      <c r="I57" s="412"/>
      <c r="J57" s="412"/>
      <c r="K57" s="412"/>
      <c r="L57" s="412"/>
      <c r="M57" s="412"/>
    </row>
    <row r="58" spans="1:13" ht="13.5" thickBot="1">
      <c r="A58" s="412"/>
      <c r="B58" s="446"/>
      <c r="C58" s="446"/>
      <c r="D58" s="462" t="s">
        <v>9</v>
      </c>
      <c r="E58" s="534">
        <f>SUMIF(E23:E57,"&gt;0",E23:E57)</f>
        <v>0</v>
      </c>
      <c r="F58" s="460"/>
      <c r="G58" s="530"/>
      <c r="H58" s="412"/>
      <c r="I58" s="412"/>
      <c r="J58" s="412"/>
      <c r="K58" s="412"/>
      <c r="L58" s="412"/>
      <c r="M58" s="412"/>
    </row>
    <row r="59" spans="1:13" ht="12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449" priority="9" operator="greaterThan">
      <formula>0</formula>
    </cfRule>
  </conditionalFormatting>
  <conditionalFormatting sqref="C13">
    <cfRule type="cellIs" dxfId="448" priority="10" operator="greaterThan">
      <formula>0</formula>
    </cfRule>
  </conditionalFormatting>
  <conditionalFormatting sqref="C2:C16">
    <cfRule type="cellIs" dxfId="447" priority="8" operator="greaterThan">
      <formula>0</formula>
    </cfRule>
  </conditionalFormatting>
  <conditionalFormatting sqref="C23:E57">
    <cfRule type="cellIs" dxfId="446" priority="7" operator="greaterThan">
      <formula>0</formula>
    </cfRule>
  </conditionalFormatting>
  <conditionalFormatting sqref="E58">
    <cfRule type="cellIs" dxfId="445" priority="6" operator="greaterThan">
      <formula>0</formula>
    </cfRule>
  </conditionalFormatting>
  <conditionalFormatting sqref="I3:I21">
    <cfRule type="cellIs" dxfId="444" priority="2" operator="equal">
      <formula>"ДА"</formula>
    </cfRule>
    <cfRule type="cellIs" dxfId="443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42" priority="5" operator="greaterThan">
      <formula>0</formula>
    </cfRule>
  </conditionalFormatting>
  <conditionalFormatting sqref="C17:C19">
    <cfRule type="cellIs" dxfId="4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096"/>
      <c r="C1" s="1097"/>
      <c r="D1" s="1097"/>
    </row>
    <row r="2" spans="2:13" ht="11.25" customHeight="1" thickBot="1">
      <c r="B2" s="507" t="s">
        <v>10</v>
      </c>
      <c r="C2" s="465">
        <v>1.85</v>
      </c>
      <c r="D2" s="1166" t="s">
        <v>595</v>
      </c>
      <c r="E2" s="1167"/>
      <c r="F2" s="1168"/>
      <c r="G2" s="121"/>
      <c r="H2" s="416" t="s">
        <v>485</v>
      </c>
      <c r="I2" s="417" t="s">
        <v>604</v>
      </c>
      <c r="J2" s="483" t="s">
        <v>4</v>
      </c>
      <c r="K2" s="484" t="s">
        <v>8</v>
      </c>
    </row>
    <row r="3" spans="2:13" ht="12.75" thickBot="1">
      <c r="B3" s="508" t="s">
        <v>1</v>
      </c>
      <c r="C3" s="466">
        <v>1.1000000000000001</v>
      </c>
      <c r="D3" s="1169"/>
      <c r="E3" s="1170"/>
      <c r="F3" s="1171"/>
      <c r="H3" s="578" t="s">
        <v>372</v>
      </c>
      <c r="I3" s="579" t="str">
        <f>IF(AND($C$7+$C$8=1,$C$9+$C$10+$C$11+$C$12=0,$C$13=2),"ДА","НЕТ")</f>
        <v>ДА</v>
      </c>
      <c r="J3" s="580"/>
      <c r="K3" s="581">
        <f>IF(I3="ДА",($C$4+$C$5+$C$6)*J3,0)</f>
        <v>0</v>
      </c>
    </row>
    <row r="4" spans="2:13" ht="12" customHeight="1">
      <c r="B4" s="507" t="s">
        <v>530</v>
      </c>
      <c r="C4" s="471">
        <v>1</v>
      </c>
      <c r="D4" s="1166" t="s">
        <v>597</v>
      </c>
      <c r="E4" s="1167"/>
      <c r="F4" s="1189"/>
      <c r="G4" s="254"/>
      <c r="H4" s="423" t="s">
        <v>373</v>
      </c>
      <c r="I4" s="421" t="str">
        <f>IF(AND($C$7+$C$8=1,$C$9+$C$10+$C$11+$C$12=0,$C$13=2),"ДА","НЕТ")</f>
        <v>ДА</v>
      </c>
      <c r="J4" s="402"/>
      <c r="K4" s="326">
        <f t="shared" ref="K4:K21" si="0">IF(I4="ДА",($C$4+$C$5+$C$6)*J4,0)</f>
        <v>0</v>
      </c>
    </row>
    <row r="5" spans="2:13" ht="12">
      <c r="B5" s="509" t="s">
        <v>396</v>
      </c>
      <c r="C5" s="469">
        <v>0</v>
      </c>
      <c r="D5" s="1186"/>
      <c r="E5" s="1172"/>
      <c r="F5" s="1190"/>
      <c r="G5" s="254"/>
      <c r="H5" s="423" t="s">
        <v>374</v>
      </c>
      <c r="I5" s="421" t="str">
        <f>IF(AND($C$7+$C$8=1,$C$9+$C$10+$C$11+$C$12=0,$C$13=2),"ДА","НЕТ")</f>
        <v>ДА</v>
      </c>
      <c r="J5" s="402"/>
      <c r="K5" s="326">
        <f t="shared" si="0"/>
        <v>0</v>
      </c>
    </row>
    <row r="6" spans="2:13" ht="12.75" thickBot="1">
      <c r="B6" s="510" t="s">
        <v>392</v>
      </c>
      <c r="C6" s="473">
        <v>0</v>
      </c>
      <c r="D6" s="1186"/>
      <c r="E6" s="1172"/>
      <c r="F6" s="1190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</row>
    <row r="7" spans="2:13" ht="12" customHeight="1">
      <c r="B7" s="507" t="s">
        <v>521</v>
      </c>
      <c r="C7" s="471">
        <v>1</v>
      </c>
      <c r="D7" s="517" t="s">
        <v>287</v>
      </c>
      <c r="E7" s="371" t="s">
        <v>255</v>
      </c>
      <c r="F7" s="1174" t="s">
        <v>596</v>
      </c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</row>
    <row r="8" spans="2:13" ht="12">
      <c r="B8" s="509" t="s">
        <v>490</v>
      </c>
      <c r="C8" s="469">
        <v>0</v>
      </c>
      <c r="D8" s="374" t="s">
        <v>287</v>
      </c>
      <c r="E8" s="373" t="s">
        <v>255</v>
      </c>
      <c r="F8" s="1175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</row>
    <row r="9" spans="2:13" ht="12">
      <c r="B9" s="525" t="s">
        <v>491</v>
      </c>
      <c r="C9" s="468">
        <v>0</v>
      </c>
      <c r="D9" s="374" t="s">
        <v>287</v>
      </c>
      <c r="E9" s="373" t="s">
        <v>255</v>
      </c>
      <c r="F9" s="1175"/>
      <c r="G9" s="255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</row>
    <row r="10" spans="2:13" ht="12">
      <c r="B10" s="509" t="s">
        <v>522</v>
      </c>
      <c r="C10" s="469">
        <v>0</v>
      </c>
      <c r="D10" s="518" t="s">
        <v>287</v>
      </c>
      <c r="E10" s="376" t="s">
        <v>255</v>
      </c>
      <c r="F10" s="1175"/>
      <c r="G10" s="255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</row>
    <row r="11" spans="2:13" ht="12">
      <c r="B11" s="509" t="s">
        <v>492</v>
      </c>
      <c r="C11" s="469">
        <v>0</v>
      </c>
      <c r="D11" s="374" t="s">
        <v>287</v>
      </c>
      <c r="E11" s="373" t="s">
        <v>255</v>
      </c>
      <c r="F11" s="1175"/>
      <c r="G11" s="255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255"/>
      <c r="M11" s="255"/>
    </row>
    <row r="12" spans="2:13" ht="12.75" thickBot="1">
      <c r="B12" s="535" t="s">
        <v>493</v>
      </c>
      <c r="C12" s="479">
        <v>0</v>
      </c>
      <c r="D12" s="536" t="s">
        <v>287</v>
      </c>
      <c r="E12" s="526" t="s">
        <v>255</v>
      </c>
      <c r="F12" s="1175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255"/>
      <c r="M12" s="255"/>
    </row>
    <row r="13" spans="2:13" ht="12.75" thickBot="1">
      <c r="B13" s="436" t="s">
        <v>589</v>
      </c>
      <c r="C13" s="472">
        <v>2</v>
      </c>
      <c r="D13" s="478" t="s">
        <v>619</v>
      </c>
      <c r="E13" s="441" t="s">
        <v>620</v>
      </c>
      <c r="F13" s="443" t="s">
        <v>621</v>
      </c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255"/>
      <c r="M13" s="255"/>
    </row>
    <row r="14" spans="2:13" ht="12.75" thickBot="1">
      <c r="B14" s="519" t="s">
        <v>393</v>
      </c>
      <c r="C14" s="520">
        <v>1</v>
      </c>
      <c r="D14" s="537" t="s">
        <v>394</v>
      </c>
      <c r="E14" s="382" t="s">
        <v>395</v>
      </c>
      <c r="F14" s="565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255"/>
      <c r="M14" s="255"/>
    </row>
    <row r="15" spans="2:13" ht="12.75" thickBot="1">
      <c r="B15" s="511" t="s">
        <v>531</v>
      </c>
      <c r="C15" s="472">
        <v>0</v>
      </c>
      <c r="D15" s="527" t="s">
        <v>287</v>
      </c>
      <c r="E15" s="380" t="s">
        <v>255</v>
      </c>
      <c r="F15" s="477" t="s">
        <v>668</v>
      </c>
      <c r="H15" s="423" t="s">
        <v>379</v>
      </c>
      <c r="I15" s="421" t="str">
        <f>IF(AND($C$11=1,$C$7+$C$9+$C$10+$C$8+$C$12=0,$C$13=2),"ДА","НЕТ")</f>
        <v>НЕТ</v>
      </c>
      <c r="J15" s="332"/>
      <c r="K15" s="326">
        <f>IF(I15="ДА",($C$4+$C$5+$C$6)*J15,0)</f>
        <v>0</v>
      </c>
    </row>
    <row r="16" spans="2:13" ht="12.75" thickBot="1">
      <c r="B16" s="510" t="s">
        <v>481</v>
      </c>
      <c r="C16" s="473">
        <v>0</v>
      </c>
      <c r="D16" s="528" t="s">
        <v>287</v>
      </c>
      <c r="E16" s="378" t="s">
        <v>255</v>
      </c>
      <c r="F16" s="56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</row>
    <row r="17" spans="1:11" ht="12.75" thickBot="1">
      <c r="B17" s="510" t="s">
        <v>412</v>
      </c>
      <c r="C17" s="473">
        <v>1</v>
      </c>
      <c r="D17" s="528" t="s">
        <v>287</v>
      </c>
      <c r="E17" s="378" t="s">
        <v>255</v>
      </c>
      <c r="F17" s="477" t="s">
        <v>625</v>
      </c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</row>
    <row r="18" spans="1:11" ht="12.75" customHeight="1">
      <c r="B18" s="509" t="s">
        <v>361</v>
      </c>
      <c r="C18" s="469">
        <v>0</v>
      </c>
      <c r="D18" s="517" t="s">
        <v>287</v>
      </c>
      <c r="E18" s="371" t="s">
        <v>255</v>
      </c>
      <c r="F18" s="1174" t="s">
        <v>597</v>
      </c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</row>
    <row r="19" spans="1:11" ht="12">
      <c r="B19" s="525" t="s">
        <v>362</v>
      </c>
      <c r="C19" s="468">
        <v>0</v>
      </c>
      <c r="D19" s="374" t="s">
        <v>287</v>
      </c>
      <c r="E19" s="373" t="s">
        <v>255</v>
      </c>
      <c r="F19" s="1175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</row>
    <row r="20" spans="1:11" ht="12">
      <c r="B20" s="525" t="s">
        <v>467</v>
      </c>
      <c r="C20" s="468">
        <v>0</v>
      </c>
      <c r="D20" s="374" t="s">
        <v>287</v>
      </c>
      <c r="E20" s="373" t="s">
        <v>255</v>
      </c>
      <c r="F20" s="1175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</row>
    <row r="21" spans="1:11" ht="12.75" thickBot="1">
      <c r="B21" s="525" t="s">
        <v>466</v>
      </c>
      <c r="C21" s="468">
        <v>1</v>
      </c>
      <c r="D21" s="528" t="s">
        <v>287</v>
      </c>
      <c r="E21" s="378" t="s">
        <v>255</v>
      </c>
      <c r="F21" s="117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</row>
    <row r="22" spans="1:11" ht="12" thickBot="1">
      <c r="B22" s="511" t="s">
        <v>404</v>
      </c>
      <c r="C22" s="472">
        <v>1</v>
      </c>
      <c r="D22" s="527" t="s">
        <v>287</v>
      </c>
      <c r="E22" s="380" t="s">
        <v>255</v>
      </c>
      <c r="F22" s="538"/>
    </row>
    <row r="23" spans="1:11">
      <c r="B23" s="414" t="s">
        <v>147</v>
      </c>
      <c r="C23" s="471">
        <v>0</v>
      </c>
      <c r="D23" s="1177" t="s">
        <v>686</v>
      </c>
      <c r="E23" s="1178"/>
      <c r="F23" s="1179"/>
    </row>
    <row r="24" spans="1:11">
      <c r="B24" s="424" t="s">
        <v>146</v>
      </c>
      <c r="C24" s="468">
        <v>0</v>
      </c>
      <c r="D24" s="1180" t="s">
        <v>687</v>
      </c>
      <c r="E24" s="1181"/>
      <c r="F24" s="1182"/>
    </row>
    <row r="25" spans="1:11" ht="12" thickBot="1">
      <c r="B25" s="419" t="s">
        <v>143</v>
      </c>
      <c r="C25" s="470">
        <v>0</v>
      </c>
      <c r="D25" s="1183" t="s">
        <v>688</v>
      </c>
      <c r="E25" s="1184"/>
      <c r="F25" s="1185"/>
    </row>
    <row r="26" spans="1:11" ht="12" thickBot="1">
      <c r="A26" s="71"/>
      <c r="B26" s="1191"/>
      <c r="C26" s="1191"/>
      <c r="D26" s="1191"/>
      <c r="E26" s="331"/>
      <c r="F26" s="401"/>
    </row>
    <row r="27" spans="1:11" ht="12.75">
      <c r="B27" s="384" t="s">
        <v>5</v>
      </c>
      <c r="C27" s="385" t="s">
        <v>0</v>
      </c>
      <c r="D27" s="516" t="s">
        <v>4</v>
      </c>
      <c r="E27" s="387" t="s">
        <v>8</v>
      </c>
      <c r="F27" s="323"/>
    </row>
    <row r="28" spans="1:11">
      <c r="B28" s="348" t="s">
        <v>563</v>
      </c>
      <c r="C28" s="354">
        <f>IF(AND(C15=0,C17=0),C20*(C4+C5+C6),0)</f>
        <v>0</v>
      </c>
      <c r="D28" s="360"/>
      <c r="E28" s="351">
        <f>C28*D28</f>
        <v>0</v>
      </c>
      <c r="F28" s="323"/>
    </row>
    <row r="29" spans="1:11">
      <c r="B29" s="348" t="s">
        <v>605</v>
      </c>
      <c r="C29" s="354">
        <f>IF(AND(C15=0,C17=0),C21*(C4+C5+C6),0)</f>
        <v>0</v>
      </c>
      <c r="D29" s="360"/>
      <c r="E29" s="351">
        <f>C29*D29</f>
        <v>0</v>
      </c>
      <c r="F29" s="323"/>
    </row>
    <row r="30" spans="1:11">
      <c r="B30" s="348" t="s">
        <v>606</v>
      </c>
      <c r="C30" s="354">
        <f>IF(AND(C15=1,C18=0),C21*(C4+C5+C6),0)</f>
        <v>0</v>
      </c>
      <c r="D30" s="360"/>
      <c r="E30" s="351">
        <f t="shared" ref="E30:E84" si="1">C30*D30</f>
        <v>0</v>
      </c>
      <c r="F30" s="323"/>
    </row>
    <row r="31" spans="1:11">
      <c r="B31" s="353" t="s">
        <v>467</v>
      </c>
      <c r="C31" s="354">
        <f>IF(AND(C15=0,C17=0),C20*C2*(C4+C5+C6),0)</f>
        <v>0</v>
      </c>
      <c r="D31" s="360"/>
      <c r="E31" s="351">
        <f>C31*D31</f>
        <v>0</v>
      </c>
      <c r="F31" s="323"/>
    </row>
    <row r="32" spans="1:11">
      <c r="B32" s="353" t="s">
        <v>616</v>
      </c>
      <c r="C32" s="354">
        <f>IF(AND(C18=0,C19=0,C20=0),C21*C2*(C4+C5+C6),0)</f>
        <v>1.85</v>
      </c>
      <c r="D32" s="360"/>
      <c r="E32" s="351">
        <f t="shared" si="1"/>
        <v>0</v>
      </c>
      <c r="F32" s="331"/>
    </row>
    <row r="33" spans="2:6">
      <c r="B33" s="353" t="s">
        <v>364</v>
      </c>
      <c r="C33" s="354">
        <f>IF(AND(C15=0,C17=0),C18*C2*(C4+C5+C6),0)</f>
        <v>0</v>
      </c>
      <c r="D33" s="360"/>
      <c r="E33" s="351">
        <f t="shared" si="1"/>
        <v>0</v>
      </c>
      <c r="F33" s="323"/>
    </row>
    <row r="34" spans="2:6">
      <c r="B34" s="353" t="s">
        <v>365</v>
      </c>
      <c r="C34" s="354">
        <f>IF(AND(C15=0,C16=0),C19*C2*(C4+C5+C6+C7+C8+C9),0)</f>
        <v>0</v>
      </c>
      <c r="D34" s="360"/>
      <c r="E34" s="351">
        <f t="shared" si="1"/>
        <v>0</v>
      </c>
      <c r="F34" s="401"/>
    </row>
    <row r="35" spans="2:6">
      <c r="B35" s="348" t="s">
        <v>635</v>
      </c>
      <c r="C35" s="349">
        <f>IF(AND(C17=1,C15+C18+C19=0,C21=1),C17*(C4+C5+C6+C7+C8+C9),0)</f>
        <v>2</v>
      </c>
      <c r="D35" s="360"/>
      <c r="E35" s="351">
        <f t="shared" si="1"/>
        <v>0</v>
      </c>
      <c r="F35" s="401"/>
    </row>
    <row r="36" spans="2:6">
      <c r="B36" s="348" t="s">
        <v>411</v>
      </c>
      <c r="C36" s="349">
        <f>IF(C15+C17+C21=0,(C18+C19)*2*(C4+C5+C6+C7+C8+C9),0)</f>
        <v>0</v>
      </c>
      <c r="D36" s="360"/>
      <c r="E36" s="351">
        <f t="shared" si="1"/>
        <v>0</v>
      </c>
      <c r="F36" s="401"/>
    </row>
    <row r="37" spans="2:6">
      <c r="B37" s="353" t="s">
        <v>533</v>
      </c>
      <c r="C37" s="354">
        <f>EVEN(ROUNDDOWN(IF(AND((C4+C5+C6)&gt;0.9,C22=0),((C4+C5+C6)*C2/0.5),0),0))</f>
        <v>0</v>
      </c>
      <c r="D37" s="360"/>
      <c r="E37" s="351">
        <f t="shared" si="1"/>
        <v>0</v>
      </c>
      <c r="F37" s="323"/>
    </row>
    <row r="38" spans="2:6">
      <c r="B38" s="353" t="s">
        <v>534</v>
      </c>
      <c r="C38" s="354">
        <f>EVEN(ROUNDDOWN(IF(AND((C4+C5+C6)&gt;0.9,C15=0,C17=1),((C4+C5+C6)*C3*2/0.5),0),0))</f>
        <v>4</v>
      </c>
      <c r="D38" s="360"/>
      <c r="E38" s="351">
        <f>C38*D38</f>
        <v>0</v>
      </c>
      <c r="F38" s="323"/>
    </row>
    <row r="39" spans="2:6">
      <c r="B39" s="353" t="s">
        <v>683</v>
      </c>
      <c r="C39" s="354">
        <f>(C4+C5+C6)*2</f>
        <v>2</v>
      </c>
      <c r="D39" s="360"/>
      <c r="E39" s="351">
        <f t="shared" si="1"/>
        <v>0</v>
      </c>
      <c r="F39" s="323"/>
    </row>
    <row r="40" spans="2:6">
      <c r="B40" s="353" t="s">
        <v>480</v>
      </c>
      <c r="C40" s="354">
        <f>(C4+C6)*C2</f>
        <v>1.85</v>
      </c>
      <c r="D40" s="360"/>
      <c r="E40" s="351">
        <f t="shared" si="1"/>
        <v>0</v>
      </c>
      <c r="F40" s="323"/>
    </row>
    <row r="41" spans="2:6">
      <c r="B41" s="353" t="s">
        <v>478</v>
      </c>
      <c r="C41" s="354">
        <f>C19*2*C2*(C4+C5+C6)</f>
        <v>0</v>
      </c>
      <c r="D41" s="360"/>
      <c r="E41" s="351">
        <f t="shared" si="1"/>
        <v>0</v>
      </c>
      <c r="F41" s="323"/>
    </row>
    <row r="42" spans="2:6">
      <c r="B42" s="353" t="s">
        <v>477</v>
      </c>
      <c r="C42" s="354">
        <f>(C21+C18)*C2*(C4+C5+C6)</f>
        <v>1.85</v>
      </c>
      <c r="D42" s="360"/>
      <c r="E42" s="351">
        <f t="shared" si="1"/>
        <v>0</v>
      </c>
      <c r="F42" s="323"/>
    </row>
    <row r="43" spans="2:6">
      <c r="B43" s="348" t="s">
        <v>474</v>
      </c>
      <c r="C43" s="349">
        <f>(C5+C20)*C2</f>
        <v>0</v>
      </c>
      <c r="D43" s="360"/>
      <c r="E43" s="351">
        <f t="shared" si="1"/>
        <v>0</v>
      </c>
      <c r="F43" s="323"/>
    </row>
    <row r="44" spans="2:6">
      <c r="B44" s="353" t="s">
        <v>525</v>
      </c>
      <c r="C44" s="354">
        <f>C4*C2</f>
        <v>1.85</v>
      </c>
      <c r="D44" s="360"/>
      <c r="E44" s="351">
        <f>C44*D44</f>
        <v>0</v>
      </c>
      <c r="F44" s="323"/>
    </row>
    <row r="45" spans="2:6">
      <c r="B45" s="348" t="s">
        <v>451</v>
      </c>
      <c r="C45" s="354">
        <f>C2*C5</f>
        <v>0</v>
      </c>
      <c r="D45" s="360"/>
      <c r="E45" s="351">
        <f t="shared" si="1"/>
        <v>0</v>
      </c>
      <c r="F45" s="323"/>
    </row>
    <row r="46" spans="2:6">
      <c r="B46" s="348" t="s">
        <v>450</v>
      </c>
      <c r="C46" s="349">
        <f>C2*C6</f>
        <v>0</v>
      </c>
      <c r="D46" s="360"/>
      <c r="E46" s="351">
        <f t="shared" si="1"/>
        <v>0</v>
      </c>
      <c r="F46" s="323"/>
    </row>
    <row r="47" spans="2:6">
      <c r="B47" s="353" t="s">
        <v>828</v>
      </c>
      <c r="C47" s="354">
        <f>C6+C5+C4</f>
        <v>1</v>
      </c>
      <c r="D47" s="360"/>
      <c r="E47" s="351">
        <f t="shared" si="1"/>
        <v>0</v>
      </c>
      <c r="F47" s="323"/>
    </row>
    <row r="48" spans="2:6">
      <c r="B48" s="353" t="s">
        <v>470</v>
      </c>
      <c r="C48" s="354">
        <f>C6</f>
        <v>0</v>
      </c>
      <c r="D48" s="360"/>
      <c r="E48" s="351">
        <f t="shared" si="1"/>
        <v>0</v>
      </c>
      <c r="F48" s="323"/>
    </row>
    <row r="49" spans="2:6">
      <c r="B49" s="353" t="s">
        <v>367</v>
      </c>
      <c r="C49" s="354">
        <f>C5</f>
        <v>0</v>
      </c>
      <c r="D49" s="360"/>
      <c r="E49" s="351">
        <f t="shared" si="1"/>
        <v>0</v>
      </c>
      <c r="F49" s="323"/>
    </row>
    <row r="50" spans="2:6">
      <c r="B50" s="353" t="s">
        <v>684</v>
      </c>
      <c r="C50" s="354">
        <f>(C4+C6+C5)*2</f>
        <v>2</v>
      </c>
      <c r="D50" s="360"/>
      <c r="E50" s="351">
        <f t="shared" si="1"/>
        <v>0</v>
      </c>
      <c r="F50" s="331"/>
    </row>
    <row r="51" spans="2:6">
      <c r="B51" s="363" t="s">
        <v>454</v>
      </c>
      <c r="C51" s="406">
        <f>C5+C4</f>
        <v>1</v>
      </c>
      <c r="D51" s="360"/>
      <c r="E51" s="407">
        <f t="shared" si="1"/>
        <v>0</v>
      </c>
      <c r="F51" s="323"/>
    </row>
    <row r="52" spans="2:6">
      <c r="B52" s="363" t="s">
        <v>375</v>
      </c>
      <c r="C52" s="406">
        <f>(C8+C7)*(C4+C5)</f>
        <v>1</v>
      </c>
      <c r="D52" s="360"/>
      <c r="E52" s="407">
        <f t="shared" si="1"/>
        <v>0</v>
      </c>
      <c r="F52" s="323"/>
    </row>
    <row r="53" spans="2:6">
      <c r="B53" s="363" t="s">
        <v>497</v>
      </c>
      <c r="C53" s="406">
        <f>C8*C5</f>
        <v>0</v>
      </c>
      <c r="D53" s="360"/>
      <c r="E53" s="407">
        <f t="shared" si="1"/>
        <v>0</v>
      </c>
      <c r="F53" s="323"/>
    </row>
    <row r="54" spans="2:6">
      <c r="B54" s="363" t="s">
        <v>377</v>
      </c>
      <c r="C54" s="406">
        <f>C9*C6</f>
        <v>0</v>
      </c>
      <c r="D54" s="360"/>
      <c r="E54" s="407">
        <f t="shared" si="1"/>
        <v>0</v>
      </c>
      <c r="F54" s="323"/>
    </row>
    <row r="55" spans="2:6" hidden="1">
      <c r="B55" s="363" t="s">
        <v>528</v>
      </c>
      <c r="C55" s="406">
        <f>(C7+C10)*C4</f>
        <v>1</v>
      </c>
      <c r="D55" s="360"/>
      <c r="E55" s="407">
        <f>C55*D55</f>
        <v>0</v>
      </c>
      <c r="F55" s="323"/>
    </row>
    <row r="56" spans="2:6">
      <c r="B56" s="363" t="s">
        <v>378</v>
      </c>
      <c r="C56" s="406">
        <f>C9*C6</f>
        <v>0</v>
      </c>
      <c r="D56" s="360"/>
      <c r="E56" s="407">
        <f t="shared" si="1"/>
        <v>0</v>
      </c>
      <c r="F56" s="323"/>
    </row>
    <row r="57" spans="2:6">
      <c r="B57" s="363" t="s">
        <v>380</v>
      </c>
      <c r="C57" s="406">
        <f>C11*C5</f>
        <v>0</v>
      </c>
      <c r="D57" s="360"/>
      <c r="E57" s="407">
        <f t="shared" si="1"/>
        <v>0</v>
      </c>
      <c r="F57" s="323"/>
    </row>
    <row r="58" spans="2:6">
      <c r="B58" s="363" t="s">
        <v>529</v>
      </c>
      <c r="C58" s="406">
        <f>(C11+C8)*C5</f>
        <v>0</v>
      </c>
      <c r="D58" s="360"/>
      <c r="E58" s="407">
        <f t="shared" si="1"/>
        <v>0</v>
      </c>
      <c r="F58" s="323"/>
    </row>
    <row r="59" spans="2:6">
      <c r="B59" s="363" t="s">
        <v>386</v>
      </c>
      <c r="C59" s="406">
        <f>C12*C6</f>
        <v>0</v>
      </c>
      <c r="D59" s="360"/>
      <c r="E59" s="407">
        <f t="shared" si="1"/>
        <v>0</v>
      </c>
      <c r="F59" s="323"/>
    </row>
    <row r="60" spans="2:6">
      <c r="B60" s="363" t="s">
        <v>387</v>
      </c>
      <c r="C60" s="406">
        <f>C12*C6</f>
        <v>0</v>
      </c>
      <c r="D60" s="360"/>
      <c r="E60" s="407">
        <f t="shared" si="1"/>
        <v>0</v>
      </c>
      <c r="F60" s="323"/>
    </row>
    <row r="61" spans="2:6">
      <c r="B61" s="353" t="s">
        <v>630</v>
      </c>
      <c r="C61" s="354">
        <f>C2*(C4+C5+C6)</f>
        <v>1.85</v>
      </c>
      <c r="D61" s="355"/>
      <c r="E61" s="351">
        <f t="shared" si="1"/>
        <v>0</v>
      </c>
      <c r="F61" s="323"/>
    </row>
    <row r="62" spans="2:6">
      <c r="B62" s="512" t="s">
        <v>631</v>
      </c>
      <c r="C62" s="513">
        <f>C2*(C4+C5+C6)</f>
        <v>1.85</v>
      </c>
      <c r="D62" s="360"/>
      <c r="E62" s="407">
        <f t="shared" si="1"/>
        <v>0</v>
      </c>
      <c r="F62" s="323"/>
    </row>
    <row r="63" spans="2:6">
      <c r="B63" s="512" t="s">
        <v>632</v>
      </c>
      <c r="C63" s="513">
        <f>C4+C5+C6</f>
        <v>1</v>
      </c>
      <c r="D63" s="360"/>
      <c r="E63" s="407">
        <f t="shared" si="1"/>
        <v>0</v>
      </c>
      <c r="F63" s="323"/>
    </row>
    <row r="64" spans="2:6">
      <c r="B64" s="512" t="s">
        <v>633</v>
      </c>
      <c r="C64" s="513">
        <f>C4+C5+C6</f>
        <v>1</v>
      </c>
      <c r="D64" s="529"/>
      <c r="E64" s="407">
        <f t="shared" si="1"/>
        <v>0</v>
      </c>
      <c r="F64" s="364"/>
    </row>
    <row r="65" spans="2:6">
      <c r="B65" s="348" t="s">
        <v>636</v>
      </c>
      <c r="C65" s="349">
        <f>IF(C17=1,C4+C5+C6,0)</f>
        <v>1</v>
      </c>
      <c r="D65" s="360"/>
      <c r="E65" s="407">
        <f t="shared" si="1"/>
        <v>0</v>
      </c>
      <c r="F65" s="364"/>
    </row>
    <row r="66" spans="2:6">
      <c r="B66" s="512" t="s">
        <v>685</v>
      </c>
      <c r="C66" s="513">
        <f>(C4+C5+C6)*2</f>
        <v>2</v>
      </c>
      <c r="D66" s="529"/>
      <c r="E66" s="407">
        <f t="shared" si="1"/>
        <v>0</v>
      </c>
      <c r="F66" s="364"/>
    </row>
    <row r="67" spans="2:6">
      <c r="B67" s="348" t="s">
        <v>637</v>
      </c>
      <c r="C67" s="349">
        <f>IF(C17=1,C3*2*(C4+C5+C6),0)</f>
        <v>2.2000000000000002</v>
      </c>
      <c r="D67" s="360"/>
      <c r="E67" s="407">
        <f t="shared" si="1"/>
        <v>0</v>
      </c>
      <c r="F67" s="364"/>
    </row>
    <row r="68" spans="2:6">
      <c r="B68" s="348" t="s">
        <v>638</v>
      </c>
      <c r="C68" s="349">
        <f>IF(C17=1,C4+C5+C6,0)</f>
        <v>1</v>
      </c>
      <c r="D68" s="360">
        <v>1</v>
      </c>
      <c r="E68" s="407">
        <f t="shared" si="1"/>
        <v>1</v>
      </c>
      <c r="F68" s="364"/>
    </row>
    <row r="69" spans="2:6">
      <c r="B69" s="348" t="s">
        <v>639</v>
      </c>
      <c r="C69" s="349">
        <f>IF(C17=1,C3*2*(C4+C5+C6),0)</f>
        <v>2.2000000000000002</v>
      </c>
      <c r="D69" s="360"/>
      <c r="E69" s="407">
        <f t="shared" si="1"/>
        <v>0</v>
      </c>
      <c r="F69" s="364"/>
    </row>
    <row r="70" spans="2:6">
      <c r="B70" s="348" t="s">
        <v>640</v>
      </c>
      <c r="C70" s="349">
        <f>IF(C16=1,C2*(C4+C5+C6),0)</f>
        <v>0</v>
      </c>
      <c r="D70" s="360"/>
      <c r="E70" s="407">
        <f>C70*D70</f>
        <v>0</v>
      </c>
      <c r="F70" s="364"/>
    </row>
    <row r="71" spans="2:6">
      <c r="B71" s="348" t="s">
        <v>484</v>
      </c>
      <c r="C71" s="349">
        <f>C2*(C4+C5+C6)</f>
        <v>1.85</v>
      </c>
      <c r="D71" s="360"/>
      <c r="E71" s="407">
        <f t="shared" si="1"/>
        <v>0</v>
      </c>
      <c r="F71" s="364"/>
    </row>
    <row r="72" spans="2:6">
      <c r="B72" s="348" t="s">
        <v>457</v>
      </c>
      <c r="C72" s="349">
        <f>IF(C16=1,C2*(C4+C5+C6),0)</f>
        <v>0</v>
      </c>
      <c r="D72" s="360"/>
      <c r="E72" s="407">
        <f t="shared" si="1"/>
        <v>0</v>
      </c>
      <c r="F72" s="364"/>
    </row>
    <row r="73" spans="2:6">
      <c r="B73" s="353" t="s">
        <v>457</v>
      </c>
      <c r="C73" s="354">
        <f>IF(C17=1,C3*4*(C4+C5+C6),0)</f>
        <v>4.4000000000000004</v>
      </c>
      <c r="D73" s="360"/>
      <c r="E73" s="407">
        <f t="shared" si="1"/>
        <v>0</v>
      </c>
      <c r="F73" s="364"/>
    </row>
    <row r="74" spans="2:6">
      <c r="B74" s="353" t="s">
        <v>535</v>
      </c>
      <c r="C74" s="354">
        <f>IF(AND(C17=1,C14=1),((C3*2)+C2)*(C4+C5+C6),0)</f>
        <v>4.0500000000000007</v>
      </c>
      <c r="D74" s="360"/>
      <c r="E74" s="407">
        <f>C74*D74</f>
        <v>0</v>
      </c>
      <c r="F74" s="364"/>
    </row>
    <row r="75" spans="2:6">
      <c r="B75" s="353" t="s">
        <v>369</v>
      </c>
      <c r="C75" s="354">
        <f>C15*((C3*2)+C2+0.3)*(C4+C5+C6)</f>
        <v>0</v>
      </c>
      <c r="D75" s="360"/>
      <c r="E75" s="407">
        <f t="shared" si="1"/>
        <v>0</v>
      </c>
      <c r="F75" s="364"/>
    </row>
    <row r="76" spans="2:6">
      <c r="B76" s="353" t="s">
        <v>370</v>
      </c>
      <c r="C76" s="354">
        <f>C15*2*(C4+C5+C6)</f>
        <v>0</v>
      </c>
      <c r="D76" s="360"/>
      <c r="E76" s="407">
        <f t="shared" si="1"/>
        <v>0</v>
      </c>
      <c r="F76" s="364"/>
    </row>
    <row r="77" spans="2:6">
      <c r="B77" s="353" t="s">
        <v>371</v>
      </c>
      <c r="C77" s="354">
        <f>C15*(C4+C5+C6)</f>
        <v>0</v>
      </c>
      <c r="D77" s="360"/>
      <c r="E77" s="407">
        <f t="shared" si="1"/>
        <v>0</v>
      </c>
      <c r="F77" s="364"/>
    </row>
    <row r="78" spans="2:6">
      <c r="B78" s="353" t="s">
        <v>458</v>
      </c>
      <c r="C78" s="354">
        <f>C15*2*(C4+C5+C6)</f>
        <v>0</v>
      </c>
      <c r="D78" s="360"/>
      <c r="E78" s="407">
        <f t="shared" si="1"/>
        <v>0</v>
      </c>
      <c r="F78" s="364"/>
    </row>
    <row r="79" spans="2:6">
      <c r="B79" s="353" t="s">
        <v>453</v>
      </c>
      <c r="C79" s="354">
        <f>C15*2*(C4+C5+C6)</f>
        <v>0</v>
      </c>
      <c r="D79" s="360"/>
      <c r="E79" s="407">
        <f t="shared" si="1"/>
        <v>0</v>
      </c>
      <c r="F79" s="364"/>
    </row>
    <row r="80" spans="2:6">
      <c r="B80" s="353" t="s">
        <v>336</v>
      </c>
      <c r="C80" s="354">
        <f>C15*(C4+C5+C6)</f>
        <v>0</v>
      </c>
      <c r="D80" s="360"/>
      <c r="E80" s="407">
        <f t="shared" si="1"/>
        <v>0</v>
      </c>
      <c r="F80" s="364"/>
    </row>
    <row r="81" spans="2:7">
      <c r="B81" s="532" t="s">
        <v>145</v>
      </c>
      <c r="C81" s="513">
        <f>C24</f>
        <v>0</v>
      </c>
      <c r="D81" s="529"/>
      <c r="E81" s="407">
        <f t="shared" si="1"/>
        <v>0</v>
      </c>
      <c r="F81" s="364"/>
    </row>
    <row r="82" spans="2:7">
      <c r="B82" s="532" t="s">
        <v>148</v>
      </c>
      <c r="C82" s="513">
        <f>C23</f>
        <v>0</v>
      </c>
      <c r="D82" s="529"/>
      <c r="E82" s="407">
        <f t="shared" si="1"/>
        <v>0</v>
      </c>
      <c r="F82" s="364"/>
    </row>
    <row r="83" spans="2:7">
      <c r="B83" s="532" t="s">
        <v>689</v>
      </c>
      <c r="C83" s="513">
        <f>C25</f>
        <v>0</v>
      </c>
      <c r="D83" s="529"/>
      <c r="E83" s="407">
        <f t="shared" si="1"/>
        <v>0</v>
      </c>
      <c r="F83" s="364"/>
    </row>
    <row r="84" spans="2:7" ht="12" thickBot="1">
      <c r="B84" s="514" t="s">
        <v>634</v>
      </c>
      <c r="C84" s="515">
        <f>EVEN(ROUNDDOWN(IF(C22=1,((C4+C5+C6)*C2/0.5),0),0))</f>
        <v>4</v>
      </c>
      <c r="D84" s="480"/>
      <c r="E84" s="411">
        <f t="shared" si="1"/>
        <v>0</v>
      </c>
      <c r="F84" s="364"/>
    </row>
    <row r="85" spans="2:7" ht="13.5" thickBot="1">
      <c r="B85" s="323"/>
      <c r="C85" s="323"/>
      <c r="D85" s="391" t="s">
        <v>9</v>
      </c>
      <c r="E85" s="396">
        <f>SUMIF(E28:E84,"&gt;0",E28:E84)</f>
        <v>1</v>
      </c>
      <c r="F85" s="364"/>
      <c r="G85" s="25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440" priority="11" operator="greaterThan">
      <formula>0</formula>
    </cfRule>
  </conditionalFormatting>
  <conditionalFormatting sqref="C13">
    <cfRule type="cellIs" dxfId="439" priority="12" operator="greaterThan">
      <formula>0</formula>
    </cfRule>
  </conditionalFormatting>
  <conditionalFormatting sqref="C13">
    <cfRule type="cellIs" dxfId="438" priority="10" operator="greaterThan">
      <formula>0</formula>
    </cfRule>
  </conditionalFormatting>
  <conditionalFormatting sqref="I3:I21">
    <cfRule type="cellIs" dxfId="437" priority="6" operator="equal">
      <formula>"ДА"</formula>
    </cfRule>
    <cfRule type="cellIs" dxfId="436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435" priority="9" operator="greaterThan">
      <formula>0</formula>
    </cfRule>
  </conditionalFormatting>
  <conditionalFormatting sqref="C2:C22">
    <cfRule type="cellIs" dxfId="434" priority="5" operator="greaterThan">
      <formula>0</formula>
    </cfRule>
  </conditionalFormatting>
  <conditionalFormatting sqref="C84:E84">
    <cfRule type="cellIs" dxfId="433" priority="4" operator="greaterThan">
      <formula>0</formula>
    </cfRule>
  </conditionalFormatting>
  <conditionalFormatting sqref="E85">
    <cfRule type="cellIs" dxfId="432" priority="3" operator="greaterThan">
      <formula>0</formula>
    </cfRule>
  </conditionalFormatting>
  <conditionalFormatting sqref="C23:C25">
    <cfRule type="cellIs" dxfId="431" priority="2" operator="greaterThan">
      <formula>0</formula>
    </cfRule>
  </conditionalFormatting>
  <conditionalFormatting sqref="C81:E83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22"/>
      <c r="C1" s="322"/>
      <c r="D1" s="322"/>
      <c r="E1" s="322"/>
      <c r="F1" s="302"/>
    </row>
    <row r="2" spans="2:15" ht="12" customHeight="1" thickBot="1">
      <c r="B2" s="539" t="s">
        <v>10</v>
      </c>
      <c r="C2" s="546">
        <v>1</v>
      </c>
      <c r="D2" s="1193" t="s">
        <v>595</v>
      </c>
      <c r="E2" s="1194"/>
      <c r="F2" s="1195"/>
      <c r="G2" s="323"/>
      <c r="H2" s="388" t="s">
        <v>485</v>
      </c>
      <c r="I2" s="400" t="s">
        <v>604</v>
      </c>
      <c r="J2" s="389" t="s">
        <v>4</v>
      </c>
      <c r="K2" s="390" t="s">
        <v>8</v>
      </c>
      <c r="L2" s="315"/>
      <c r="M2" s="315"/>
    </row>
    <row r="3" spans="2:15" ht="12" customHeight="1" thickBot="1">
      <c r="B3" s="540" t="s">
        <v>1</v>
      </c>
      <c r="C3" s="547">
        <v>1</v>
      </c>
      <c r="D3" s="1196"/>
      <c r="E3" s="1197"/>
      <c r="F3" s="1198"/>
      <c r="G3" s="323"/>
      <c r="H3" s="324" t="s">
        <v>489</v>
      </c>
      <c r="I3" s="397" t="str">
        <f>IF(AND($C$10+$C$11+$C$12=1,$C$13+$C$14+$C$15=0,C16=1),"ДА","НЕТ")</f>
        <v>НЕТ</v>
      </c>
      <c r="J3" s="325"/>
      <c r="K3" s="326">
        <f>IF(I3="ДА",($C$4+$C$5+$C$6+$C$7+$C$8+$C$9)*J3,0)</f>
        <v>0</v>
      </c>
      <c r="L3" s="315"/>
      <c r="M3" s="315"/>
    </row>
    <row r="4" spans="2:15" ht="12" customHeight="1">
      <c r="B4" s="539" t="s">
        <v>413</v>
      </c>
      <c r="C4" s="548">
        <v>0</v>
      </c>
      <c r="D4" s="1199" t="s">
        <v>596</v>
      </c>
      <c r="E4" s="1167"/>
      <c r="F4" s="1168"/>
      <c r="G4" s="327"/>
      <c r="H4" s="328" t="s">
        <v>486</v>
      </c>
      <c r="I4" s="398" t="str">
        <f>IF(AND($C$10+$C$11+$C$12=1,$C$13+$C$14+$C$15=0,C16=3),"ДА","НЕТ")</f>
        <v>НЕТ</v>
      </c>
      <c r="J4" s="329"/>
      <c r="K4" s="326">
        <f t="shared" ref="K4:K19" si="0">IF(I4="ДА",($C$4+$C$5+$C$6+$C$7+$C$8+$C$9)*J4,0)</f>
        <v>0</v>
      </c>
      <c r="L4" s="254"/>
      <c r="M4" s="254"/>
      <c r="N4" s="254"/>
      <c r="O4" s="254"/>
    </row>
    <row r="5" spans="2:15" ht="12" customHeight="1">
      <c r="B5" s="541" t="s">
        <v>414</v>
      </c>
      <c r="C5" s="549">
        <v>0</v>
      </c>
      <c r="D5" s="1200"/>
      <c r="E5" s="1172"/>
      <c r="F5" s="1173"/>
      <c r="G5" s="323"/>
      <c r="H5" s="328" t="s">
        <v>591</v>
      </c>
      <c r="I5" s="398" t="str">
        <f>IF(AND($C$10+$C$11+$C$12=1,$C$13+$C$14+$C$15=0,C16=3),"ДА","НЕТ")</f>
        <v>НЕТ</v>
      </c>
      <c r="J5" s="329"/>
      <c r="K5" s="326">
        <f t="shared" si="0"/>
        <v>0</v>
      </c>
    </row>
    <row r="6" spans="2:15" ht="12" customHeight="1">
      <c r="B6" s="541" t="s">
        <v>586</v>
      </c>
      <c r="C6" s="549">
        <v>0</v>
      </c>
      <c r="D6" s="1200"/>
      <c r="E6" s="1172"/>
      <c r="F6" s="1173"/>
      <c r="G6" s="323"/>
      <c r="H6" s="328" t="s">
        <v>487</v>
      </c>
      <c r="I6" s="398" t="str">
        <f>IF(AND($C$10+$C$11+$C$12=1,$C$13+$C$14+$C$15=0,C16=2),"ДА","НЕТ")</f>
        <v>НЕТ</v>
      </c>
      <c r="J6" s="329"/>
      <c r="K6" s="326">
        <f t="shared" si="0"/>
        <v>0</v>
      </c>
    </row>
    <row r="7" spans="2:15" ht="12" customHeight="1">
      <c r="B7" s="543" t="s">
        <v>415</v>
      </c>
      <c r="C7" s="551">
        <v>1</v>
      </c>
      <c r="D7" s="1200"/>
      <c r="E7" s="1172"/>
      <c r="F7" s="1173"/>
      <c r="G7" s="323"/>
      <c r="H7" s="328" t="s">
        <v>488</v>
      </c>
      <c r="I7" s="398" t="str">
        <f>IF(AND($C$10+$C$11+$C$12=1,$C$13+$C$14+$C$15=0,C16=2),"ДА","НЕТ")</f>
        <v>НЕТ</v>
      </c>
      <c r="J7" s="329"/>
      <c r="K7" s="326">
        <f t="shared" si="0"/>
        <v>0</v>
      </c>
    </row>
    <row r="8" spans="2:15" ht="12" customHeight="1">
      <c r="B8" s="541" t="s">
        <v>416</v>
      </c>
      <c r="C8" s="549">
        <v>0</v>
      </c>
      <c r="D8" s="1200"/>
      <c r="E8" s="1172"/>
      <c r="F8" s="1173"/>
      <c r="G8" s="323"/>
      <c r="H8" s="328" t="s">
        <v>494</v>
      </c>
      <c r="I8" s="398" t="str">
        <f>IF(AND($C$10+$C$11+$C$12=1,$C$13+$C$14+$C$15=0,C16=2),"ДА","НЕТ")</f>
        <v>НЕТ</v>
      </c>
      <c r="J8" s="329"/>
      <c r="K8" s="326">
        <f t="shared" si="0"/>
        <v>0</v>
      </c>
    </row>
    <row r="9" spans="2:15" ht="12" customHeight="1" thickBot="1">
      <c r="B9" s="542" t="s">
        <v>585</v>
      </c>
      <c r="C9" s="550">
        <v>0</v>
      </c>
      <c r="D9" s="1201"/>
      <c r="E9" s="1170"/>
      <c r="F9" s="1171"/>
      <c r="G9" s="323"/>
      <c r="H9" s="324" t="s">
        <v>590</v>
      </c>
      <c r="I9" s="398" t="str">
        <f>IF(AND($C$12=1,$C$13+$C$14+$C$15+$C$10+$C$11=0,C16=1),"ДА","НЕТ")</f>
        <v>НЕТ</v>
      </c>
      <c r="J9" s="325"/>
      <c r="K9" s="326">
        <f t="shared" si="0"/>
        <v>0</v>
      </c>
    </row>
    <row r="10" spans="2:15" ht="12" customHeight="1">
      <c r="B10" s="539" t="s">
        <v>498</v>
      </c>
      <c r="C10" s="548">
        <v>0</v>
      </c>
      <c r="D10" s="370" t="s">
        <v>287</v>
      </c>
      <c r="E10" s="371" t="s">
        <v>255</v>
      </c>
      <c r="F10" s="1174" t="s">
        <v>596</v>
      </c>
      <c r="G10" s="331"/>
      <c r="H10" s="324" t="s">
        <v>383</v>
      </c>
      <c r="I10" s="398" t="str">
        <f>IF(AND($C$10+$C$11+$C$12+$C$15=0,$C$13+$C$14=1,C16=1),"ДА","НЕТ")</f>
        <v>НЕТ</v>
      </c>
      <c r="J10" s="332"/>
      <c r="K10" s="326">
        <f t="shared" si="0"/>
        <v>0</v>
      </c>
      <c r="L10" s="71"/>
      <c r="M10" s="71"/>
      <c r="N10" s="71"/>
    </row>
    <row r="11" spans="2:15" ht="12" customHeight="1">
      <c r="B11" s="541" t="s">
        <v>499</v>
      </c>
      <c r="C11" s="549">
        <v>0</v>
      </c>
      <c r="D11" s="372" t="s">
        <v>287</v>
      </c>
      <c r="E11" s="373" t="s">
        <v>255</v>
      </c>
      <c r="F11" s="1175"/>
      <c r="G11" s="323"/>
      <c r="H11" s="334" t="s">
        <v>384</v>
      </c>
      <c r="I11" s="398" t="str">
        <f>IF(AND($C$10+$C$11+$C$12+$C$15=0,$C$13+$C$14=1,C16=1),"ДА","НЕТ")</f>
        <v>НЕТ</v>
      </c>
      <c r="J11" s="332"/>
      <c r="K11" s="326">
        <f t="shared" si="0"/>
        <v>0</v>
      </c>
    </row>
    <row r="12" spans="2:15" ht="12" customHeight="1">
      <c r="B12" s="541" t="s">
        <v>587</v>
      </c>
      <c r="C12" s="549">
        <v>0</v>
      </c>
      <c r="D12" s="372" t="s">
        <v>287</v>
      </c>
      <c r="E12" s="374" t="s">
        <v>255</v>
      </c>
      <c r="F12" s="1175"/>
      <c r="G12" s="323"/>
      <c r="H12" s="334" t="s">
        <v>385</v>
      </c>
      <c r="I12" s="398" t="str">
        <f>IF(AND($C$10+$C$11+$C$12+$C$15=0,$C$13+$C$14=1,C16=1),"ДА","НЕТ")</f>
        <v>НЕТ</v>
      </c>
      <c r="J12" s="335"/>
      <c r="K12" s="326">
        <f t="shared" si="0"/>
        <v>0</v>
      </c>
    </row>
    <row r="13" spans="2:15" ht="12" customHeight="1">
      <c r="B13" s="543" t="s">
        <v>500</v>
      </c>
      <c r="C13" s="551">
        <v>1</v>
      </c>
      <c r="D13" s="375" t="s">
        <v>287</v>
      </c>
      <c r="E13" s="376" t="s">
        <v>255</v>
      </c>
      <c r="F13" s="1175"/>
      <c r="G13" s="323"/>
      <c r="H13" s="334" t="s">
        <v>592</v>
      </c>
      <c r="I13" s="398" t="str">
        <f>IF(AND($C$10+$C$11+$C$12+$C$13+$C$14=0,$C$15=1,C16=1),"ДА","НЕТ")</f>
        <v>НЕТ</v>
      </c>
      <c r="J13" s="335"/>
      <c r="K13" s="326">
        <f t="shared" si="0"/>
        <v>0</v>
      </c>
    </row>
    <row r="14" spans="2:15" ht="12" customHeight="1">
      <c r="B14" s="541" t="s">
        <v>501</v>
      </c>
      <c r="C14" s="549">
        <v>0</v>
      </c>
      <c r="D14" s="372" t="s">
        <v>287</v>
      </c>
      <c r="E14" s="373" t="s">
        <v>255</v>
      </c>
      <c r="F14" s="1175"/>
      <c r="G14" s="323"/>
      <c r="H14" s="334" t="s">
        <v>592</v>
      </c>
      <c r="I14" s="398" t="str">
        <f>IF(AND($C$10+$C$11+$C$12+$C$13+$C$14=0,$C$15=1,C16=1),"ДА","НЕТ")</f>
        <v>НЕТ</v>
      </c>
      <c r="J14" s="335"/>
      <c r="K14" s="326">
        <f t="shared" si="0"/>
        <v>0</v>
      </c>
    </row>
    <row r="15" spans="2:15" ht="12" customHeight="1" thickBot="1">
      <c r="B15" s="542" t="s">
        <v>588</v>
      </c>
      <c r="C15" s="550">
        <v>0</v>
      </c>
      <c r="D15" s="377" t="s">
        <v>287</v>
      </c>
      <c r="E15" s="378" t="s">
        <v>255</v>
      </c>
      <c r="F15" s="1176"/>
      <c r="G15" s="323"/>
      <c r="H15" s="324" t="s">
        <v>388</v>
      </c>
      <c r="I15" s="398" t="str">
        <f>IF(AND($C$10+$C$11+$C$12+$C$15=0,$C$13+$C$14=1,C16=2),"ДА","НЕТ")</f>
        <v>НЕТ</v>
      </c>
      <c r="J15" s="332"/>
      <c r="K15" s="326">
        <f t="shared" si="0"/>
        <v>0</v>
      </c>
    </row>
    <row r="16" spans="2:15" ht="12" customHeight="1" thickBot="1">
      <c r="B16" s="542" t="s">
        <v>589</v>
      </c>
      <c r="C16" s="550">
        <v>0</v>
      </c>
      <c r="D16" s="377" t="s">
        <v>619</v>
      </c>
      <c r="E16" s="378" t="s">
        <v>620</v>
      </c>
      <c r="F16" s="383" t="s">
        <v>621</v>
      </c>
      <c r="G16" s="323"/>
      <c r="H16" s="334" t="s">
        <v>389</v>
      </c>
      <c r="I16" s="398" t="str">
        <f>IF(AND($C$10+$C$11+$C$12+$C$15=0,$C$13+$C$14=1,C16=2),"ДА","НЕТ")</f>
        <v>НЕТ</v>
      </c>
      <c r="J16" s="332"/>
      <c r="K16" s="326">
        <f t="shared" si="0"/>
        <v>0</v>
      </c>
    </row>
    <row r="17" spans="2:13" ht="12" customHeight="1" thickBot="1">
      <c r="B17" s="544" t="s">
        <v>531</v>
      </c>
      <c r="C17" s="552">
        <v>0</v>
      </c>
      <c r="D17" s="379" t="s">
        <v>287</v>
      </c>
      <c r="E17" s="380" t="s">
        <v>255</v>
      </c>
      <c r="F17" s="477" t="s">
        <v>669</v>
      </c>
      <c r="G17" s="323"/>
      <c r="H17" s="334" t="s">
        <v>390</v>
      </c>
      <c r="I17" s="398" t="str">
        <f>IF(AND($C$10+$C$11+$C$12+$C$15=0,$C$13+$C$14=1,C16=2),"ДА","НЕТ")</f>
        <v>НЕТ</v>
      </c>
      <c r="J17" s="332"/>
      <c r="K17" s="326">
        <f t="shared" si="0"/>
        <v>0</v>
      </c>
    </row>
    <row r="18" spans="2:13" ht="12" customHeight="1" thickBot="1">
      <c r="B18" s="542" t="s">
        <v>532</v>
      </c>
      <c r="C18" s="550">
        <v>0</v>
      </c>
      <c r="D18" s="377" t="s">
        <v>287</v>
      </c>
      <c r="E18" s="378" t="s">
        <v>255</v>
      </c>
      <c r="F18" s="567"/>
      <c r="G18" s="323"/>
      <c r="H18" s="324" t="s">
        <v>593</v>
      </c>
      <c r="I18" s="397" t="str">
        <f>IF(AND($C$10+$C$11+$C$12+$C$13+$C$14=0,$C$15=1,C16=2),"ДА","НЕТ")</f>
        <v>НЕТ</v>
      </c>
      <c r="J18" s="336"/>
      <c r="K18" s="326">
        <f t="shared" si="0"/>
        <v>0</v>
      </c>
    </row>
    <row r="19" spans="2:13" ht="12" customHeight="1" thickBot="1">
      <c r="B19" s="545" t="s">
        <v>393</v>
      </c>
      <c r="C19" s="553">
        <v>0</v>
      </c>
      <c r="D19" s="381" t="s">
        <v>394</v>
      </c>
      <c r="E19" s="382" t="s">
        <v>395</v>
      </c>
      <c r="F19" s="567"/>
      <c r="G19" s="323"/>
      <c r="H19" s="338" t="s">
        <v>594</v>
      </c>
      <c r="I19" s="399" t="str">
        <f>IF(AND($C$10+$C$11+$C$12+$C$13+$C$14=0,$C$15=1,C16=2),"ДА","НЕТ")</f>
        <v>НЕТ</v>
      </c>
      <c r="J19" s="339"/>
      <c r="K19" s="482">
        <f t="shared" si="0"/>
        <v>0</v>
      </c>
    </row>
    <row r="20" spans="2:13" ht="12" customHeight="1" thickBot="1">
      <c r="B20" s="544" t="s">
        <v>358</v>
      </c>
      <c r="C20" s="552">
        <v>0</v>
      </c>
      <c r="D20" s="379" t="s">
        <v>417</v>
      </c>
      <c r="E20" s="380" t="s">
        <v>418</v>
      </c>
      <c r="F20" s="568"/>
      <c r="G20" s="323"/>
      <c r="H20" s="341"/>
      <c r="I20" s="342"/>
      <c r="J20" s="343"/>
      <c r="K20" s="344"/>
    </row>
    <row r="21" spans="2:13" ht="12" customHeight="1">
      <c r="B21" s="543" t="s">
        <v>361</v>
      </c>
      <c r="C21" s="551">
        <v>0</v>
      </c>
      <c r="D21" s="370" t="s">
        <v>287</v>
      </c>
      <c r="E21" s="371" t="s">
        <v>255</v>
      </c>
      <c r="F21" s="1174" t="s">
        <v>597</v>
      </c>
      <c r="G21" s="323"/>
      <c r="H21" s="323"/>
      <c r="I21" s="323"/>
      <c r="J21" s="323"/>
      <c r="K21" s="323"/>
    </row>
    <row r="22" spans="2:13" ht="12" customHeight="1">
      <c r="B22" s="543" t="s">
        <v>466</v>
      </c>
      <c r="C22" s="551">
        <v>0</v>
      </c>
      <c r="D22" s="372" t="s">
        <v>287</v>
      </c>
      <c r="E22" s="373" t="s">
        <v>255</v>
      </c>
      <c r="F22" s="1175"/>
      <c r="G22" s="323"/>
      <c r="H22" s="323"/>
      <c r="I22" s="323"/>
      <c r="J22" s="323"/>
      <c r="K22" s="323"/>
    </row>
    <row r="23" spans="2:13" ht="12" customHeight="1">
      <c r="B23" s="541" t="s">
        <v>362</v>
      </c>
      <c r="C23" s="549">
        <v>0</v>
      </c>
      <c r="D23" s="372" t="s">
        <v>287</v>
      </c>
      <c r="E23" s="373" t="s">
        <v>255</v>
      </c>
      <c r="F23" s="1175"/>
      <c r="G23" s="345"/>
      <c r="H23" s="345"/>
      <c r="I23" s="345"/>
      <c r="J23" s="345"/>
      <c r="K23" s="345"/>
      <c r="L23" s="5"/>
      <c r="M23" s="5"/>
    </row>
    <row r="24" spans="2:13" ht="12" customHeight="1" thickBot="1">
      <c r="B24" s="540" t="s">
        <v>467</v>
      </c>
      <c r="C24" s="554">
        <v>0</v>
      </c>
      <c r="D24" s="377" t="s">
        <v>287</v>
      </c>
      <c r="E24" s="378" t="s">
        <v>255</v>
      </c>
      <c r="F24" s="1176"/>
      <c r="G24" s="323"/>
      <c r="H24" s="323"/>
      <c r="I24" s="323"/>
      <c r="J24" s="323"/>
      <c r="K24" s="323"/>
    </row>
    <row r="25" spans="2:13" ht="12" customHeight="1">
      <c r="B25" s="731" t="s">
        <v>147</v>
      </c>
      <c r="C25" s="733">
        <v>0</v>
      </c>
      <c r="D25" s="1202" t="s">
        <v>686</v>
      </c>
      <c r="E25" s="1178"/>
      <c r="F25" s="1179"/>
      <c r="G25" s="323"/>
      <c r="H25" s="323"/>
      <c r="I25" s="323"/>
      <c r="J25" s="323"/>
      <c r="K25" s="323"/>
    </row>
    <row r="26" spans="2:13" ht="12" customHeight="1" thickBot="1">
      <c r="B26" s="732" t="s">
        <v>146</v>
      </c>
      <c r="C26" s="734">
        <v>0</v>
      </c>
      <c r="D26" s="1203" t="s">
        <v>687</v>
      </c>
      <c r="E26" s="1184"/>
      <c r="F26" s="1185"/>
      <c r="G26" s="323"/>
      <c r="H26" s="323"/>
      <c r="I26" s="323"/>
      <c r="J26" s="323"/>
      <c r="K26" s="323"/>
    </row>
    <row r="27" spans="2:13" ht="12" customHeight="1" thickBot="1">
      <c r="B27" s="1192"/>
      <c r="C27" s="1192"/>
      <c r="D27" s="1192"/>
      <c r="E27" s="1192"/>
      <c r="F27" s="346"/>
      <c r="G27" s="323"/>
      <c r="H27" s="323"/>
      <c r="I27" s="323"/>
      <c r="J27" s="323"/>
      <c r="K27" s="323"/>
    </row>
    <row r="28" spans="2:13" ht="12" customHeight="1">
      <c r="B28" s="384" t="s">
        <v>5</v>
      </c>
      <c r="C28" s="385" t="s">
        <v>0</v>
      </c>
      <c r="D28" s="386" t="s">
        <v>4</v>
      </c>
      <c r="E28" s="387" t="s">
        <v>8</v>
      </c>
      <c r="F28" s="347"/>
      <c r="G28" s="323"/>
      <c r="H28" s="323"/>
      <c r="I28" s="323"/>
      <c r="J28" s="323"/>
      <c r="K28" s="323"/>
    </row>
    <row r="29" spans="2:13" ht="12" customHeight="1">
      <c r="B29" s="348" t="s">
        <v>563</v>
      </c>
      <c r="C29" s="349">
        <f>IF(C17=0,C24*(C4+C5+C7+C8+C6+C9),0)</f>
        <v>0</v>
      </c>
      <c r="D29" s="350"/>
      <c r="E29" s="351">
        <f t="shared" ref="E29:E81" si="1">C29*D29</f>
        <v>0</v>
      </c>
      <c r="F29" s="352"/>
      <c r="G29" s="323"/>
      <c r="H29" s="323"/>
      <c r="I29" s="323"/>
      <c r="J29" s="323"/>
      <c r="K29" s="323"/>
    </row>
    <row r="30" spans="2:13" ht="12" customHeight="1">
      <c r="B30" s="348" t="s">
        <v>564</v>
      </c>
      <c r="C30" s="349">
        <f>C22*(C4+C5+C7+C8+C6+C9)</f>
        <v>0</v>
      </c>
      <c r="D30" s="350"/>
      <c r="E30" s="351">
        <f>C30*D30</f>
        <v>0</v>
      </c>
      <c r="F30" s="352"/>
      <c r="G30" s="323"/>
      <c r="H30" s="323"/>
      <c r="I30" s="323"/>
      <c r="J30" s="323"/>
      <c r="K30" s="323"/>
    </row>
    <row r="31" spans="2:13" ht="12" customHeight="1">
      <c r="B31" s="348" t="s">
        <v>117</v>
      </c>
      <c r="C31" s="349">
        <f>(C21+C23)*2*(C4+C5+C7+C8+C6+C9)</f>
        <v>0</v>
      </c>
      <c r="D31" s="350"/>
      <c r="E31" s="351">
        <f t="shared" si="1"/>
        <v>0</v>
      </c>
      <c r="F31" s="352"/>
      <c r="G31" s="323"/>
      <c r="H31" s="323"/>
      <c r="I31" s="323"/>
      <c r="J31" s="323"/>
      <c r="K31" s="323"/>
    </row>
    <row r="32" spans="2:13" ht="12" customHeight="1">
      <c r="B32" s="353" t="s">
        <v>641</v>
      </c>
      <c r="C32" s="354">
        <f>EVEN(ROUNDDOWN(IF(AND(C7+C8+C9&gt;0.9,C4+C5+C6=0),(C7+C8)*C2/0.5,0),0))</f>
        <v>2</v>
      </c>
      <c r="D32" s="355"/>
      <c r="E32" s="351">
        <f t="shared" si="1"/>
        <v>0</v>
      </c>
      <c r="F32" s="352"/>
      <c r="G32" s="331"/>
      <c r="H32" s="331"/>
      <c r="I32" s="323"/>
      <c r="J32" s="323"/>
      <c r="K32" s="323"/>
    </row>
    <row r="33" spans="2:11" ht="12" customHeight="1">
      <c r="B33" s="353" t="s">
        <v>459</v>
      </c>
      <c r="C33" s="354">
        <f>IF(AND(C10+C11+C12&gt;0,C13+C14+C15=0,C19=1,C20=0,C18=1),(C4+C5+C7+C8+C6+C9),0)</f>
        <v>0</v>
      </c>
      <c r="D33" s="355"/>
      <c r="E33" s="351">
        <f>C33*D33</f>
        <v>0</v>
      </c>
      <c r="F33" s="352"/>
      <c r="G33" s="356"/>
      <c r="H33" s="323"/>
      <c r="I33" s="323"/>
      <c r="J33" s="323"/>
      <c r="K33" s="323"/>
    </row>
    <row r="34" spans="2:11" ht="12" customHeight="1">
      <c r="B34" s="353" t="s">
        <v>460</v>
      </c>
      <c r="C34" s="349">
        <f>IF(AND(C10+C11+C12&gt;0,C13+C14+C15=0,C19=1,C20=1,C18=1),(C4+C5+C7+C8+C6+C9),0)</f>
        <v>0</v>
      </c>
      <c r="D34" s="350"/>
      <c r="E34" s="351">
        <f>C34*D34</f>
        <v>0</v>
      </c>
      <c r="F34" s="352"/>
      <c r="G34" s="346"/>
      <c r="H34" s="346"/>
      <c r="I34" s="323"/>
      <c r="J34" s="323"/>
      <c r="K34" s="323"/>
    </row>
    <row r="35" spans="2:11" ht="12" customHeight="1">
      <c r="B35" s="353" t="s">
        <v>420</v>
      </c>
      <c r="C35" s="349">
        <f>IF(AND(C10+C11+C12&gt;0,C13+C14+C15=0,C19=1,C20=0,C18=1),(C4+C5+C7+C8+C6+C9),0)</f>
        <v>0</v>
      </c>
      <c r="D35" s="350">
        <v>1</v>
      </c>
      <c r="E35" s="351">
        <f t="shared" ref="E35:E36" si="2">C35*D35</f>
        <v>0</v>
      </c>
      <c r="F35" s="352"/>
      <c r="G35" s="795"/>
      <c r="H35" s="795"/>
      <c r="I35" s="323"/>
      <c r="J35" s="323"/>
      <c r="K35" s="323"/>
    </row>
    <row r="36" spans="2:11" ht="12" customHeight="1">
      <c r="B36" s="353" t="s">
        <v>421</v>
      </c>
      <c r="C36" s="349">
        <f>IF(AND(C10+C11+C12&gt;0,C13+C14+C15=0,C19=1,C20=1,C18=1),(C4+C5+C7+C8+C6+C9),0)</f>
        <v>0</v>
      </c>
      <c r="D36" s="350"/>
      <c r="E36" s="351">
        <f t="shared" si="2"/>
        <v>0</v>
      </c>
      <c r="F36" s="352"/>
      <c r="G36" s="795"/>
      <c r="H36" s="795"/>
      <c r="I36" s="323"/>
      <c r="J36" s="323"/>
      <c r="K36" s="323"/>
    </row>
    <row r="37" spans="2:11" ht="12" customHeight="1">
      <c r="B37" s="353" t="s">
        <v>420</v>
      </c>
      <c r="C37" s="354">
        <f>IF(AND(C10+C11+C12&gt;0,C13+C14+C15=0,C19=0,C20=0),(C4+C5+C7+C8+C6+C9)*2,0)</f>
        <v>0</v>
      </c>
      <c r="D37" s="355"/>
      <c r="E37" s="351">
        <f>C37*D37</f>
        <v>0</v>
      </c>
      <c r="F37" s="352"/>
      <c r="G37" s="356"/>
      <c r="H37" s="323"/>
      <c r="I37" s="323"/>
      <c r="J37" s="323"/>
      <c r="K37" s="323"/>
    </row>
    <row r="38" spans="2:11" ht="12" customHeight="1">
      <c r="B38" s="353" t="s">
        <v>421</v>
      </c>
      <c r="C38" s="357">
        <f>IF(AND(C10+C11+C12&gt;0,C13+C14+C15=0,C19=0,C20=1),(C4+C5+C7+C8+C6+C9)*2,0)</f>
        <v>0</v>
      </c>
      <c r="D38" s="358"/>
      <c r="E38" s="351">
        <f>C38*D38</f>
        <v>0</v>
      </c>
      <c r="F38" s="352"/>
      <c r="G38" s="323"/>
      <c r="H38" s="323"/>
      <c r="I38" s="323"/>
      <c r="J38" s="323"/>
      <c r="K38" s="323"/>
    </row>
    <row r="39" spans="2:11" ht="12" customHeight="1">
      <c r="B39" s="353" t="s">
        <v>420</v>
      </c>
      <c r="C39" s="354">
        <f>IF(AND(C10+C11+C12=0,C13+C14+C15&gt;0,C19=0,C20=0),(C4+C5+C7+C8+C6+C9),0)</f>
        <v>1</v>
      </c>
      <c r="D39" s="355"/>
      <c r="E39" s="351">
        <f t="shared" si="1"/>
        <v>0</v>
      </c>
      <c r="F39" s="352"/>
      <c r="G39" s="359"/>
      <c r="H39" s="346"/>
      <c r="I39" s="323"/>
      <c r="J39" s="323"/>
      <c r="K39" s="323"/>
    </row>
    <row r="40" spans="2:11" ht="12" customHeight="1">
      <c r="B40" s="353" t="s">
        <v>421</v>
      </c>
      <c r="C40" s="357">
        <f>IF(AND(C10+C11+C12=0,C13+C14+C15&gt;0,C19=0,C20=1),(C4+C5+C7+C8+C6+C9),0)</f>
        <v>0</v>
      </c>
      <c r="D40" s="358"/>
      <c r="E40" s="351">
        <f t="shared" si="1"/>
        <v>0</v>
      </c>
      <c r="F40" s="352"/>
      <c r="G40" s="323"/>
      <c r="H40" s="323"/>
      <c r="I40" s="323"/>
      <c r="J40" s="323"/>
      <c r="K40" s="323"/>
    </row>
    <row r="41" spans="2:11" ht="12" customHeight="1">
      <c r="B41" s="353" t="s">
        <v>511</v>
      </c>
      <c r="C41" s="354">
        <f>IF(AND(C10+C11=0,C13+C14&gt;0,C20=0),(C4+C5+C7+C8+C6+C9),0)</f>
        <v>1</v>
      </c>
      <c r="D41" s="355"/>
      <c r="E41" s="351">
        <f>C41*D41</f>
        <v>0</v>
      </c>
      <c r="F41" s="352"/>
      <c r="G41" s="323"/>
      <c r="H41" s="323"/>
      <c r="I41" s="323"/>
      <c r="J41" s="323"/>
      <c r="K41" s="323"/>
    </row>
    <row r="42" spans="2:11" ht="12" customHeight="1">
      <c r="B42" s="353" t="s">
        <v>512</v>
      </c>
      <c r="C42" s="357">
        <f>IF(AND(C10+C11=0,C13+C14&gt;0,C20=1),(C4+C5+C7+C8+C6+C9),0)</f>
        <v>0</v>
      </c>
      <c r="D42" s="358"/>
      <c r="E42" s="351">
        <f>C42*D42</f>
        <v>0</v>
      </c>
      <c r="F42" s="352"/>
      <c r="G42" s="323"/>
      <c r="H42" s="323"/>
      <c r="I42" s="323"/>
      <c r="J42" s="323"/>
      <c r="K42" s="323"/>
    </row>
    <row r="43" spans="2:11" ht="12" customHeight="1">
      <c r="B43" s="348" t="s">
        <v>642</v>
      </c>
      <c r="C43" s="357">
        <f>(C4+C5+C6)*2</f>
        <v>0</v>
      </c>
      <c r="D43" s="358"/>
      <c r="E43" s="351">
        <f t="shared" si="1"/>
        <v>0</v>
      </c>
      <c r="F43" s="352"/>
      <c r="G43" s="323"/>
      <c r="H43" s="323"/>
      <c r="I43" s="323"/>
      <c r="J43" s="323"/>
      <c r="K43" s="323"/>
    </row>
    <row r="44" spans="2:11" ht="12" customHeight="1">
      <c r="B44" s="353" t="s">
        <v>643</v>
      </c>
      <c r="C44" s="357">
        <f>IF(C4+C5=0,(C7+C8+C9)*2,0)</f>
        <v>2</v>
      </c>
      <c r="D44" s="358"/>
      <c r="E44" s="351">
        <f t="shared" si="1"/>
        <v>0</v>
      </c>
      <c r="F44" s="352"/>
      <c r="G44" s="323"/>
      <c r="H44" s="323"/>
      <c r="I44" s="323"/>
      <c r="J44" s="323"/>
      <c r="K44" s="323"/>
    </row>
    <row r="45" spans="2:11" ht="12" customHeight="1">
      <c r="B45" s="353" t="s">
        <v>432</v>
      </c>
      <c r="C45" s="349">
        <f>C4+C7</f>
        <v>1</v>
      </c>
      <c r="D45" s="350"/>
      <c r="E45" s="351">
        <f t="shared" si="1"/>
        <v>0</v>
      </c>
      <c r="F45" s="352"/>
      <c r="G45" s="323"/>
      <c r="H45" s="323"/>
      <c r="I45" s="323"/>
      <c r="J45" s="323"/>
      <c r="K45" s="323"/>
    </row>
    <row r="46" spans="2:11" ht="12" customHeight="1">
      <c r="B46" s="353" t="s">
        <v>433</v>
      </c>
      <c r="C46" s="354">
        <f>(C4+C7)*2</f>
        <v>2</v>
      </c>
      <c r="D46" s="355"/>
      <c r="E46" s="351">
        <f t="shared" si="1"/>
        <v>0</v>
      </c>
      <c r="F46" s="352"/>
      <c r="G46" s="323"/>
      <c r="H46" s="323"/>
      <c r="I46" s="323"/>
      <c r="J46" s="323"/>
      <c r="K46" s="323"/>
    </row>
    <row r="47" spans="2:11" ht="12" customHeight="1">
      <c r="B47" s="353" t="s">
        <v>600</v>
      </c>
      <c r="C47" s="354">
        <f>(C6+C9)*2</f>
        <v>0</v>
      </c>
      <c r="D47" s="355"/>
      <c r="E47" s="351">
        <f>C47*D47</f>
        <v>0</v>
      </c>
      <c r="F47" s="352"/>
      <c r="G47" s="323"/>
      <c r="H47" s="323"/>
      <c r="I47" s="323"/>
      <c r="J47" s="323"/>
      <c r="K47" s="323"/>
    </row>
    <row r="48" spans="2:11" ht="12" customHeight="1">
      <c r="B48" s="353" t="s">
        <v>434</v>
      </c>
      <c r="C48" s="354">
        <f>C5+C8+C6+C9</f>
        <v>0</v>
      </c>
      <c r="D48" s="355"/>
      <c r="E48" s="351">
        <f t="shared" si="1"/>
        <v>0</v>
      </c>
      <c r="F48" s="352"/>
      <c r="G48" s="323"/>
      <c r="H48" s="323"/>
      <c r="I48" s="323"/>
      <c r="J48" s="323"/>
      <c r="K48" s="323"/>
    </row>
    <row r="49" spans="2:11" ht="12" customHeight="1">
      <c r="B49" s="353" t="s">
        <v>644</v>
      </c>
      <c r="C49" s="354">
        <f>IF(C17=0,(C7+C8+C9)*2,0)</f>
        <v>2</v>
      </c>
      <c r="D49" s="355"/>
      <c r="E49" s="351">
        <f t="shared" si="1"/>
        <v>0</v>
      </c>
      <c r="F49" s="352"/>
      <c r="G49" s="323"/>
      <c r="H49" s="323"/>
      <c r="I49" s="323"/>
      <c r="J49" s="323"/>
      <c r="K49" s="323"/>
    </row>
    <row r="50" spans="2:11" ht="12" customHeight="1">
      <c r="B50" s="353" t="s">
        <v>474</v>
      </c>
      <c r="C50" s="354">
        <f>C24*C2*(C4+C5+C7+C8+C6+C9)</f>
        <v>0</v>
      </c>
      <c r="D50" s="355"/>
      <c r="E50" s="351">
        <f>C50*D50</f>
        <v>0</v>
      </c>
      <c r="F50" s="352"/>
      <c r="G50" s="323"/>
      <c r="H50" s="323"/>
      <c r="I50" s="323"/>
      <c r="J50" s="323"/>
      <c r="K50" s="323"/>
    </row>
    <row r="51" spans="2:11" ht="12" customHeight="1">
      <c r="B51" s="348" t="s">
        <v>474</v>
      </c>
      <c r="C51" s="354">
        <f>C2*(C4+C5+C7+C8+C6+C9)</f>
        <v>1</v>
      </c>
      <c r="D51" s="355"/>
      <c r="E51" s="351">
        <f t="shared" si="1"/>
        <v>0</v>
      </c>
      <c r="F51" s="352"/>
      <c r="G51" s="323"/>
      <c r="H51" s="323"/>
      <c r="I51" s="323"/>
      <c r="J51" s="323"/>
      <c r="K51" s="323"/>
    </row>
    <row r="52" spans="2:11" ht="12" customHeight="1">
      <c r="B52" s="353" t="s">
        <v>363</v>
      </c>
      <c r="C52" s="354">
        <f>C23*2*C2*(C4+C5+C7+C8+C6+C9)</f>
        <v>0</v>
      </c>
      <c r="D52" s="355"/>
      <c r="E52" s="351">
        <f t="shared" si="1"/>
        <v>0</v>
      </c>
      <c r="F52" s="352"/>
      <c r="G52" s="323"/>
      <c r="H52" s="323"/>
      <c r="I52" s="323"/>
      <c r="J52" s="323"/>
      <c r="K52" s="323"/>
    </row>
    <row r="53" spans="2:11" ht="12" customHeight="1">
      <c r="B53" s="353" t="s">
        <v>477</v>
      </c>
      <c r="C53" s="354">
        <f>C22*C2*(C4+C5+C7+C8+C6+C9)</f>
        <v>0</v>
      </c>
      <c r="D53" s="360"/>
      <c r="E53" s="351">
        <f t="shared" si="1"/>
        <v>0</v>
      </c>
      <c r="F53" s="352"/>
      <c r="G53" s="323"/>
      <c r="H53" s="323"/>
      <c r="I53" s="323"/>
      <c r="J53" s="323"/>
      <c r="K53" s="323"/>
    </row>
    <row r="54" spans="2:11" ht="12" customHeight="1">
      <c r="B54" s="353" t="s">
        <v>467</v>
      </c>
      <c r="C54" s="354">
        <f>C24*C2*(C4+C5+C7+C8+C6+C9)</f>
        <v>0</v>
      </c>
      <c r="D54" s="355"/>
      <c r="E54" s="351">
        <f t="shared" si="1"/>
        <v>0</v>
      </c>
      <c r="F54" s="352"/>
      <c r="G54" s="323"/>
      <c r="H54" s="323"/>
      <c r="I54" s="323"/>
      <c r="J54" s="323"/>
      <c r="K54" s="323"/>
    </row>
    <row r="55" spans="2:11" ht="12" customHeight="1">
      <c r="B55" s="353" t="s">
        <v>645</v>
      </c>
      <c r="C55" s="354">
        <f>C22*C2*(C4+C5+C7+C8+C6+C9)</f>
        <v>0</v>
      </c>
      <c r="D55" s="355"/>
      <c r="E55" s="351">
        <f>C55*D55</f>
        <v>0</v>
      </c>
      <c r="F55" s="352"/>
      <c r="G55" s="323"/>
      <c r="H55" s="323"/>
      <c r="I55" s="323"/>
      <c r="J55" s="323"/>
      <c r="K55" s="323"/>
    </row>
    <row r="56" spans="2:11" ht="12" customHeight="1">
      <c r="B56" s="353" t="s">
        <v>364</v>
      </c>
      <c r="C56" s="354">
        <f>C21*C2*(C4+C5+C7+C8+C6+C9)</f>
        <v>0</v>
      </c>
      <c r="D56" s="355"/>
      <c r="E56" s="351">
        <f t="shared" si="1"/>
        <v>0</v>
      </c>
      <c r="F56" s="352"/>
      <c r="G56" s="323"/>
      <c r="H56" s="323"/>
      <c r="I56" s="323"/>
      <c r="J56" s="323"/>
      <c r="K56" s="323"/>
    </row>
    <row r="57" spans="2:11" ht="12" customHeight="1">
      <c r="B57" s="353" t="s">
        <v>365</v>
      </c>
      <c r="C57" s="361">
        <f>C23*C2*(C4+C5+C7+C8+C6+C9)</f>
        <v>0</v>
      </c>
      <c r="D57" s="355"/>
      <c r="E57" s="351">
        <f t="shared" si="1"/>
        <v>0</v>
      </c>
      <c r="F57" s="352"/>
      <c r="G57" s="323"/>
      <c r="H57" s="323"/>
      <c r="I57" s="323"/>
      <c r="J57" s="323"/>
      <c r="K57" s="323"/>
    </row>
    <row r="58" spans="2:11" ht="12" customHeight="1">
      <c r="B58" s="348" t="s">
        <v>461</v>
      </c>
      <c r="C58" s="361">
        <f>(C4+C7)*C2</f>
        <v>1</v>
      </c>
      <c r="D58" s="355"/>
      <c r="E58" s="351">
        <f t="shared" si="1"/>
        <v>0</v>
      </c>
      <c r="F58" s="352"/>
      <c r="G58" s="323"/>
      <c r="H58" s="323"/>
      <c r="I58" s="323"/>
      <c r="J58" s="323"/>
      <c r="K58" s="323"/>
    </row>
    <row r="59" spans="2:11" ht="12" customHeight="1">
      <c r="B59" s="348" t="s">
        <v>462</v>
      </c>
      <c r="C59" s="361">
        <f>(C5+C8)*C2</f>
        <v>0</v>
      </c>
      <c r="D59" s="355"/>
      <c r="E59" s="351">
        <f t="shared" si="1"/>
        <v>0</v>
      </c>
      <c r="F59" s="352"/>
      <c r="G59" s="356"/>
      <c r="H59" s="323"/>
      <c r="I59" s="323"/>
      <c r="J59" s="323"/>
      <c r="K59" s="323"/>
    </row>
    <row r="60" spans="2:11" ht="12" customHeight="1">
      <c r="B60" s="348" t="s">
        <v>601</v>
      </c>
      <c r="C60" s="361">
        <f>(C6+C9)*C2</f>
        <v>0</v>
      </c>
      <c r="D60" s="355"/>
      <c r="E60" s="351">
        <f>C60*D60</f>
        <v>0</v>
      </c>
      <c r="F60" s="352"/>
      <c r="G60" s="356"/>
      <c r="H60" s="323"/>
      <c r="I60" s="323"/>
      <c r="J60" s="323"/>
      <c r="K60" s="323"/>
    </row>
    <row r="61" spans="2:11" ht="12" customHeight="1">
      <c r="B61" s="348" t="s">
        <v>422</v>
      </c>
      <c r="C61" s="361">
        <f>IF(C4+C5=0,(C7+C8+C9)*C2,0)</f>
        <v>1</v>
      </c>
      <c r="D61" s="355"/>
      <c r="E61" s="351">
        <f t="shared" si="1"/>
        <v>0</v>
      </c>
      <c r="F61" s="352"/>
      <c r="G61" s="323"/>
      <c r="H61" s="323"/>
      <c r="I61" s="323"/>
      <c r="J61" s="323"/>
      <c r="K61" s="323"/>
    </row>
    <row r="62" spans="2:11" ht="12" customHeight="1">
      <c r="B62" s="353" t="s">
        <v>646</v>
      </c>
      <c r="C62" s="361">
        <f>C18*(C4+C5+C7+C8+C6+C9)</f>
        <v>0</v>
      </c>
      <c r="D62" s="360"/>
      <c r="E62" s="351">
        <f t="shared" si="1"/>
        <v>0</v>
      </c>
      <c r="F62" s="352"/>
      <c r="G62" s="323"/>
      <c r="H62" s="323"/>
      <c r="I62" s="323"/>
      <c r="J62" s="323"/>
      <c r="K62" s="323"/>
    </row>
    <row r="63" spans="2:11" ht="12" customHeight="1">
      <c r="B63" s="353" t="s">
        <v>647</v>
      </c>
      <c r="C63" s="361">
        <f>IF(C18=0,C4+C5+C7+C8+C6+C9,0)</f>
        <v>1</v>
      </c>
      <c r="D63" s="355"/>
      <c r="E63" s="351">
        <f t="shared" si="1"/>
        <v>0</v>
      </c>
      <c r="F63" s="352"/>
      <c r="G63" s="323"/>
      <c r="H63" s="323"/>
      <c r="I63" s="323"/>
      <c r="J63" s="323"/>
      <c r="K63" s="323"/>
    </row>
    <row r="64" spans="2:11" ht="12" customHeight="1">
      <c r="B64" s="353" t="s">
        <v>424</v>
      </c>
      <c r="C64" s="361">
        <f>(C7+C8+C9)*4</f>
        <v>4</v>
      </c>
      <c r="D64" s="355"/>
      <c r="E64" s="351">
        <f t="shared" si="1"/>
        <v>0</v>
      </c>
      <c r="F64" s="352"/>
      <c r="G64" s="323"/>
      <c r="H64" s="323"/>
      <c r="I64" s="323"/>
      <c r="J64" s="323"/>
      <c r="K64" s="323"/>
    </row>
    <row r="65" spans="2:11" ht="12" customHeight="1">
      <c r="B65" s="353" t="s">
        <v>648</v>
      </c>
      <c r="C65" s="361">
        <f>C17*(C4+C5+C7+C8+C6+C9)</f>
        <v>0</v>
      </c>
      <c r="D65" s="360"/>
      <c r="E65" s="351">
        <f t="shared" si="1"/>
        <v>0</v>
      </c>
      <c r="F65" s="352"/>
      <c r="G65" s="323"/>
      <c r="H65" s="323"/>
      <c r="I65" s="323"/>
      <c r="J65" s="323"/>
      <c r="K65" s="323"/>
    </row>
    <row r="66" spans="2:11" ht="12" customHeight="1">
      <c r="B66" s="353" t="s">
        <v>425</v>
      </c>
      <c r="C66" s="361">
        <f>IF(C17=1,(C4+C5+C7+C8+C6+C9)*C3*2+0.3,0)</f>
        <v>0</v>
      </c>
      <c r="D66" s="355"/>
      <c r="E66" s="351">
        <f t="shared" si="1"/>
        <v>0</v>
      </c>
      <c r="F66" s="352"/>
      <c r="G66" s="356"/>
      <c r="H66" s="323"/>
      <c r="I66" s="323"/>
      <c r="J66" s="323"/>
      <c r="K66" s="323"/>
    </row>
    <row r="67" spans="2:11" ht="12" customHeight="1">
      <c r="B67" s="353" t="s">
        <v>649</v>
      </c>
      <c r="C67" s="361">
        <f>IF(AND(C19=1,C17=1),(C4+C5+C7+C8+C6+C9)*2,0)</f>
        <v>0</v>
      </c>
      <c r="D67" s="355"/>
      <c r="E67" s="351">
        <f t="shared" si="1"/>
        <v>0</v>
      </c>
      <c r="F67" s="352"/>
      <c r="G67" s="323"/>
      <c r="H67" s="323"/>
      <c r="I67" s="323"/>
      <c r="J67" s="323"/>
      <c r="K67" s="323"/>
    </row>
    <row r="68" spans="2:11" ht="12" customHeight="1">
      <c r="B68" s="353" t="s">
        <v>650</v>
      </c>
      <c r="C68" s="361">
        <f>IF(C17=1,(C5+C7+C8+C4+C6+C9)*2,0)</f>
        <v>0</v>
      </c>
      <c r="D68" s="355"/>
      <c r="E68" s="351">
        <f t="shared" si="1"/>
        <v>0</v>
      </c>
      <c r="F68" s="352"/>
      <c r="G68" s="323"/>
      <c r="H68" s="323"/>
      <c r="I68" s="323"/>
      <c r="J68" s="323"/>
      <c r="K68" s="323"/>
    </row>
    <row r="69" spans="2:11" ht="12" customHeight="1">
      <c r="B69" s="353" t="s">
        <v>428</v>
      </c>
      <c r="C69" s="361">
        <f>C17*2*(C4+C5+C7+C8+C6+C9)</f>
        <v>0</v>
      </c>
      <c r="D69" s="355"/>
      <c r="E69" s="351">
        <f t="shared" si="1"/>
        <v>0</v>
      </c>
      <c r="F69" s="352"/>
      <c r="G69" s="323"/>
      <c r="H69" s="323"/>
      <c r="I69" s="323"/>
      <c r="J69" s="323"/>
      <c r="K69" s="323"/>
    </row>
    <row r="70" spans="2:11" ht="12" customHeight="1">
      <c r="B70" s="353" t="s">
        <v>476</v>
      </c>
      <c r="C70" s="361">
        <f>C17*(C4+C5+C7+C8+C6+C9)</f>
        <v>0</v>
      </c>
      <c r="D70" s="362"/>
      <c r="E70" s="351">
        <f t="shared" si="1"/>
        <v>0</v>
      </c>
      <c r="F70" s="352"/>
      <c r="G70" s="323"/>
      <c r="H70" s="323"/>
      <c r="I70" s="323"/>
      <c r="J70" s="323"/>
      <c r="K70" s="323"/>
    </row>
    <row r="71" spans="2:11" ht="12" customHeight="1">
      <c r="B71" s="353" t="s">
        <v>429</v>
      </c>
      <c r="C71" s="361">
        <f>C17*2*(C4+C5+C7+C8+C6+C9)</f>
        <v>0</v>
      </c>
      <c r="D71" s="362"/>
      <c r="E71" s="351">
        <f t="shared" si="1"/>
        <v>0</v>
      </c>
      <c r="F71" s="352"/>
      <c r="G71" s="323"/>
      <c r="H71" s="323"/>
      <c r="I71" s="323"/>
      <c r="J71" s="323"/>
      <c r="K71" s="323"/>
    </row>
    <row r="72" spans="2:11" ht="12" customHeight="1">
      <c r="B72" s="353" t="s">
        <v>430</v>
      </c>
      <c r="C72" s="361">
        <f>C17*4*(C4+C5+C7+C8+C6+C9)</f>
        <v>0</v>
      </c>
      <c r="D72" s="355"/>
      <c r="E72" s="351">
        <f t="shared" si="1"/>
        <v>0</v>
      </c>
      <c r="F72" s="352"/>
      <c r="G72" s="323"/>
      <c r="H72" s="323"/>
      <c r="I72" s="323"/>
      <c r="J72" s="323"/>
      <c r="K72" s="323"/>
    </row>
    <row r="73" spans="2:11" ht="12" customHeight="1">
      <c r="B73" s="353" t="s">
        <v>431</v>
      </c>
      <c r="C73" s="361">
        <f>C17*4*(C4+C5+C7+C8+C6+C9)</f>
        <v>0</v>
      </c>
      <c r="D73" s="355"/>
      <c r="E73" s="351">
        <f t="shared" si="1"/>
        <v>0</v>
      </c>
      <c r="F73" s="352"/>
      <c r="G73" s="323"/>
      <c r="H73" s="323"/>
      <c r="I73" s="323"/>
      <c r="J73" s="323"/>
      <c r="K73" s="323"/>
    </row>
    <row r="74" spans="2:11" ht="12" customHeight="1">
      <c r="B74" s="363" t="s">
        <v>378</v>
      </c>
      <c r="C74" s="361">
        <f>C10*(C4+C7)</f>
        <v>0</v>
      </c>
      <c r="D74" s="360"/>
      <c r="E74" s="351">
        <f t="shared" si="1"/>
        <v>0</v>
      </c>
      <c r="F74" s="352"/>
      <c r="G74" s="364"/>
      <c r="H74" s="364"/>
      <c r="I74" s="323"/>
      <c r="J74" s="323"/>
      <c r="K74" s="323"/>
    </row>
    <row r="75" spans="2:11" ht="12" customHeight="1">
      <c r="B75" s="363" t="s">
        <v>598</v>
      </c>
      <c r="C75" s="361">
        <f>C13*(C4+C7)</f>
        <v>1</v>
      </c>
      <c r="D75" s="360"/>
      <c r="E75" s="351">
        <f t="shared" si="1"/>
        <v>0</v>
      </c>
      <c r="F75" s="352"/>
      <c r="G75" s="365"/>
      <c r="H75" s="323"/>
      <c r="I75" s="323"/>
      <c r="J75" s="323"/>
      <c r="K75" s="323"/>
    </row>
    <row r="76" spans="2:11" ht="12" customHeight="1">
      <c r="B76" s="363" t="s">
        <v>436</v>
      </c>
      <c r="C76" s="361">
        <f>C11*(C5+C8)</f>
        <v>0</v>
      </c>
      <c r="D76" s="355"/>
      <c r="E76" s="351">
        <f t="shared" si="1"/>
        <v>0</v>
      </c>
      <c r="F76" s="352"/>
      <c r="G76" s="366"/>
      <c r="H76" s="323"/>
      <c r="I76" s="323"/>
      <c r="J76" s="323"/>
      <c r="K76" s="323"/>
    </row>
    <row r="77" spans="2:11" ht="12" customHeight="1">
      <c r="B77" s="363" t="s">
        <v>602</v>
      </c>
      <c r="C77" s="361">
        <f>C12*(C6+C9)</f>
        <v>0</v>
      </c>
      <c r="D77" s="355"/>
      <c r="E77" s="351">
        <f>C77*D77</f>
        <v>0</v>
      </c>
      <c r="F77" s="352"/>
      <c r="G77" s="366"/>
      <c r="H77" s="323"/>
      <c r="I77" s="323"/>
      <c r="J77" s="323"/>
      <c r="K77" s="323"/>
    </row>
    <row r="78" spans="2:11" ht="12" customHeight="1">
      <c r="B78" s="363" t="s">
        <v>603</v>
      </c>
      <c r="C78" s="361">
        <f>C15*(C6+C9)</f>
        <v>0</v>
      </c>
      <c r="D78" s="355"/>
      <c r="E78" s="351">
        <f>C78*D78</f>
        <v>0</v>
      </c>
      <c r="F78" s="352"/>
      <c r="G78" s="366"/>
      <c r="H78" s="323"/>
      <c r="I78" s="323"/>
      <c r="J78" s="323"/>
      <c r="K78" s="323"/>
    </row>
    <row r="79" spans="2:11" ht="12" customHeight="1">
      <c r="B79" s="532" t="s">
        <v>145</v>
      </c>
      <c r="C79" s="513">
        <f>C26</f>
        <v>0</v>
      </c>
      <c r="D79" s="529"/>
      <c r="E79" s="407">
        <f t="shared" ref="E79:E80" si="3">C79*D79</f>
        <v>0</v>
      </c>
      <c r="F79" s="352"/>
      <c r="G79" s="366"/>
      <c r="H79" s="323"/>
      <c r="I79" s="323"/>
      <c r="J79" s="323"/>
      <c r="K79" s="323"/>
    </row>
    <row r="80" spans="2:11" ht="12" customHeight="1">
      <c r="B80" s="458" t="s">
        <v>148</v>
      </c>
      <c r="C80" s="354">
        <f>C25</f>
        <v>0</v>
      </c>
      <c r="D80" s="360"/>
      <c r="E80" s="351">
        <f t="shared" si="3"/>
        <v>0</v>
      </c>
      <c r="F80" s="352"/>
      <c r="G80" s="366"/>
      <c r="H80" s="323"/>
      <c r="I80" s="323"/>
      <c r="J80" s="323"/>
      <c r="K80" s="323"/>
    </row>
    <row r="81" spans="1:11" ht="12" customHeight="1" thickBot="1">
      <c r="B81" s="392" t="s">
        <v>599</v>
      </c>
      <c r="C81" s="393">
        <f>C14*(C5+C8)</f>
        <v>0</v>
      </c>
      <c r="D81" s="394"/>
      <c r="E81" s="395">
        <f t="shared" si="1"/>
        <v>0</v>
      </c>
      <c r="F81" s="352"/>
      <c r="G81" s="366"/>
      <c r="H81" s="323"/>
      <c r="I81" s="323"/>
      <c r="J81" s="323"/>
      <c r="K81" s="323"/>
    </row>
    <row r="82" spans="1:11" ht="12" customHeight="1" thickBot="1">
      <c r="B82" s="323"/>
      <c r="C82" s="323"/>
      <c r="D82" s="391" t="s">
        <v>9</v>
      </c>
      <c r="E82" s="396">
        <f>SUMIF(E29:E81,"&gt;0",E29:E81)</f>
        <v>0</v>
      </c>
      <c r="F82" s="367"/>
      <c r="G82" s="366"/>
      <c r="H82" s="323"/>
      <c r="I82" s="323"/>
      <c r="J82" s="323"/>
      <c r="K82" s="323"/>
    </row>
    <row r="83" spans="1:11" ht="12" customHeight="1">
      <c r="B83" s="323"/>
      <c r="C83" s="323"/>
      <c r="D83" s="323"/>
      <c r="E83" s="323"/>
      <c r="F83" s="323"/>
      <c r="G83" s="366"/>
      <c r="H83" s="323"/>
      <c r="I83" s="323"/>
      <c r="J83" s="323"/>
      <c r="K83" s="323"/>
    </row>
    <row r="84" spans="1:11" ht="12" customHeight="1">
      <c r="B84" s="368"/>
      <c r="C84" s="368"/>
      <c r="D84" s="368"/>
      <c r="E84" s="368"/>
      <c r="F84" s="369"/>
      <c r="G84" s="369"/>
      <c r="H84" s="331"/>
      <c r="I84" s="323"/>
      <c r="J84" s="323"/>
      <c r="K84" s="323"/>
    </row>
    <row r="85" spans="1:11" ht="12" customHeight="1">
      <c r="A85" s="313"/>
      <c r="B85" s="341"/>
      <c r="C85" s="342"/>
      <c r="D85" s="343"/>
      <c r="E85" s="344"/>
      <c r="F85" s="344"/>
      <c r="G85" s="323"/>
      <c r="H85" s="323"/>
      <c r="I85" s="323"/>
      <c r="J85" s="323"/>
      <c r="K85" s="323"/>
    </row>
    <row r="86" spans="1:11" ht="12" customHeight="1">
      <c r="A86" s="313"/>
      <c r="B86" s="255"/>
      <c r="C86" s="320"/>
      <c r="D86" s="318"/>
      <c r="E86" s="314"/>
      <c r="F86" s="314"/>
    </row>
    <row r="87" spans="1:11" ht="12" customHeight="1">
      <c r="A87" s="313"/>
      <c r="B87" s="255"/>
      <c r="C87" s="320"/>
      <c r="D87" s="318"/>
      <c r="E87" s="314"/>
      <c r="F87" s="314"/>
    </row>
    <row r="88" spans="1:11" ht="12" customHeight="1">
      <c r="A88" s="313"/>
      <c r="B88" s="255"/>
      <c r="C88" s="320"/>
      <c r="D88" s="318"/>
      <c r="E88" s="314"/>
      <c r="F88" s="314"/>
    </row>
    <row r="89" spans="1:11" ht="12" customHeight="1">
      <c r="A89" s="313"/>
      <c r="B89" s="255"/>
      <c r="C89" s="320"/>
      <c r="D89" s="318"/>
      <c r="E89" s="314"/>
      <c r="F89" s="314"/>
    </row>
    <row r="90" spans="1:11" ht="12" customHeight="1">
      <c r="A90" s="313"/>
      <c r="B90" s="255"/>
      <c r="C90" s="320"/>
      <c r="D90" s="318"/>
      <c r="E90" s="314"/>
      <c r="F90" s="314"/>
    </row>
    <row r="91" spans="1:11" ht="12" customHeight="1">
      <c r="A91" s="313"/>
      <c r="B91" s="316"/>
      <c r="C91" s="320"/>
      <c r="D91" s="317"/>
      <c r="E91" s="314"/>
      <c r="F91" s="314"/>
    </row>
    <row r="92" spans="1:11" ht="12" customHeight="1">
      <c r="A92" s="313"/>
      <c r="B92" s="316"/>
      <c r="C92" s="320"/>
      <c r="D92" s="317"/>
      <c r="E92" s="314"/>
      <c r="F92" s="314"/>
    </row>
    <row r="93" spans="1:11" ht="12" customHeight="1">
      <c r="A93" s="313"/>
      <c r="B93" s="316"/>
      <c r="C93" s="320"/>
      <c r="D93" s="317"/>
      <c r="E93" s="314"/>
      <c r="F93" s="314"/>
    </row>
    <row r="94" spans="1:11" ht="12" customHeight="1">
      <c r="A94" s="313"/>
      <c r="B94" s="316"/>
      <c r="C94" s="320"/>
      <c r="D94" s="319"/>
      <c r="E94" s="314"/>
      <c r="F94" s="314"/>
    </row>
    <row r="95" spans="1:11" ht="12" customHeight="1">
      <c r="A95" s="313"/>
      <c r="B95" s="316"/>
      <c r="C95" s="320"/>
      <c r="D95" s="319"/>
      <c r="E95" s="314"/>
      <c r="F95" s="314"/>
    </row>
    <row r="96" spans="1:11" ht="12" customHeight="1">
      <c r="A96" s="313"/>
      <c r="B96" s="316"/>
      <c r="C96" s="320"/>
      <c r="D96" s="319"/>
      <c r="E96" s="314"/>
      <c r="F96" s="314"/>
    </row>
    <row r="97" spans="1:6" ht="12" customHeight="1">
      <c r="A97" s="313"/>
      <c r="B97" s="316"/>
      <c r="C97" s="320"/>
      <c r="D97" s="317"/>
      <c r="E97" s="314"/>
      <c r="F97" s="314"/>
    </row>
    <row r="98" spans="1:6" ht="12" customHeight="1">
      <c r="A98" s="313"/>
      <c r="B98" s="316"/>
      <c r="C98" s="320"/>
      <c r="D98" s="317"/>
      <c r="E98" s="314"/>
      <c r="F98" s="314"/>
    </row>
    <row r="99" spans="1:6" ht="12" customHeight="1">
      <c r="A99" s="313"/>
      <c r="B99" s="316"/>
      <c r="C99" s="320"/>
      <c r="D99" s="317"/>
      <c r="E99" s="314"/>
      <c r="F99" s="314"/>
    </row>
    <row r="100" spans="1:6" ht="12" customHeight="1">
      <c r="B100" s="255"/>
      <c r="C100" s="255"/>
      <c r="D100" s="263"/>
      <c r="E100" s="321"/>
      <c r="F100" s="27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429" priority="72" operator="equal">
      <formula>"ДА"</formula>
    </cfRule>
    <cfRule type="cellIs" dxfId="428" priority="73" operator="equal">
      <formula>"НЕТ"</formula>
    </cfRule>
  </conditionalFormatting>
  <conditionalFormatting sqref="C85:C86 C92:C94 C88:C90 C97:C99">
    <cfRule type="cellIs" dxfId="427" priority="69" operator="equal">
      <formula>"ДА"</formula>
    </cfRule>
    <cfRule type="cellIs" dxfId="426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425" priority="66" operator="equal">
      <formula>"ДА"</formula>
    </cfRule>
    <cfRule type="cellIs" dxfId="424" priority="67" operator="equal">
      <formula>"НЕТ"</formula>
    </cfRule>
  </conditionalFormatting>
  <conditionalFormatting sqref="C87">
    <cfRule type="cellIs" dxfId="423" priority="63" operator="equal">
      <formula>"ДА"</formula>
    </cfRule>
    <cfRule type="cellIs" dxfId="422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421" priority="59" operator="equal">
      <formula>"ДА"</formula>
    </cfRule>
    <cfRule type="cellIs" dxfId="420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419" priority="55" operator="equal">
      <formula>"ДА"</formula>
    </cfRule>
    <cfRule type="cellIs" dxfId="418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417" priority="49" operator="equal">
      <formula>"ДА"</formula>
    </cfRule>
    <cfRule type="cellIs" dxfId="416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415" priority="29" operator="equal">
      <formula>"ДА"</formula>
    </cfRule>
    <cfRule type="cellIs" dxfId="414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3" priority="26" operator="equal">
      <formula>"ДА"</formula>
    </cfRule>
    <cfRule type="cellIs" dxfId="412" priority="27" operator="equal">
      <formula>"НЕТ"</formula>
    </cfRule>
  </conditionalFormatting>
  <conditionalFormatting sqref="I5">
    <cfRule type="cellIs" dxfId="411" priority="23" operator="equal">
      <formula>"ДА"</formula>
    </cfRule>
    <cfRule type="cellIs" dxfId="410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09" priority="19" operator="equal">
      <formula>"ДА"</formula>
    </cfRule>
    <cfRule type="cellIs" dxfId="408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407" priority="15" operator="equal">
      <formula>"ДА"</formula>
    </cfRule>
    <cfRule type="cellIs" dxfId="406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405" priority="11" operator="equal">
      <formula>"ДА"</formula>
    </cfRule>
    <cfRule type="cellIs" dxfId="404" priority="12" operator="equal">
      <formula>"НЕТ"</formula>
    </cfRule>
  </conditionalFormatting>
  <conditionalFormatting sqref="I19">
    <cfRule type="cellIs" dxfId="403" priority="9" operator="equal">
      <formula>"ДА"</formula>
    </cfRule>
    <cfRule type="cellIs" dxfId="402" priority="10" operator="equal">
      <formula>"НЕТ"</formula>
    </cfRule>
  </conditionalFormatting>
  <conditionalFormatting sqref="K3:K19 C29:E78">
    <cfRule type="cellIs" dxfId="401" priority="8" operator="greaterThan">
      <formula>0</formula>
    </cfRule>
  </conditionalFormatting>
  <conditionalFormatting sqref="J3:J19">
    <cfRule type="cellIs" dxfId="400" priority="4" operator="greaterThan">
      <formula>0</formula>
    </cfRule>
    <cfRule type="cellIs" dxfId="399" priority="7" operator="greaterThan">
      <formula>0</formula>
    </cfRule>
  </conditionalFormatting>
  <conditionalFormatting sqref="C81:E81">
    <cfRule type="cellIs" dxfId="398" priority="6" operator="greaterThan">
      <formula>0</formula>
    </cfRule>
  </conditionalFormatting>
  <conditionalFormatting sqref="E82">
    <cfRule type="cellIs" dxfId="397" priority="5" operator="greaterThan">
      <formula>0</formula>
    </cfRule>
  </conditionalFormatting>
  <conditionalFormatting sqref="C2:C24">
    <cfRule type="cellIs" dxfId="396" priority="3" operator="greaterThan">
      <formula>0</formula>
    </cfRule>
  </conditionalFormatting>
  <conditionalFormatting sqref="C25:C26">
    <cfRule type="cellIs" dxfId="395" priority="2" operator="greaterThan">
      <formula>0</formula>
    </cfRule>
  </conditionalFormatting>
  <conditionalFormatting sqref="C79:E80">
    <cfRule type="cellIs" dxfId="3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46"/>
      <c r="B1" s="1204"/>
      <c r="C1" s="1205"/>
      <c r="D1" s="1205"/>
      <c r="E1" s="1205"/>
      <c r="F1" s="446"/>
      <c r="G1" s="412"/>
      <c r="H1" s="412"/>
      <c r="I1" s="412"/>
      <c r="J1" s="412"/>
      <c r="K1" s="412"/>
      <c r="L1" s="412"/>
    </row>
    <row r="2" spans="1:13" ht="11.25" customHeight="1" thickBot="1">
      <c r="A2" s="446"/>
      <c r="B2" s="414" t="s">
        <v>10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3" ht="13.5" thickBot="1">
      <c r="A3" s="446"/>
      <c r="B3" s="419" t="s">
        <v>1</v>
      </c>
      <c r="C3" s="466">
        <v>0</v>
      </c>
      <c r="D3" s="1169"/>
      <c r="E3" s="1170"/>
      <c r="F3" s="1171"/>
      <c r="G3" s="412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  <c r="L3" s="412"/>
    </row>
    <row r="4" spans="1:13" ht="12.75" customHeight="1">
      <c r="A4" s="446"/>
      <c r="B4" s="426" t="s">
        <v>413</v>
      </c>
      <c r="C4" s="556">
        <v>0</v>
      </c>
      <c r="D4" s="1166" t="s">
        <v>597</v>
      </c>
      <c r="E4" s="1167"/>
      <c r="F4" s="1168"/>
      <c r="G4" s="493"/>
      <c r="H4" s="425" t="s">
        <v>486</v>
      </c>
      <c r="I4" s="631" t="str">
        <f>IF(AND($C$6+$C$7=1,$C$8+$C$9=0,$C$10=3),"ДА","НЕТ")</f>
        <v>НЕТ</v>
      </c>
      <c r="J4" s="329"/>
      <c r="K4" s="326">
        <f t="shared" ref="K4:K15" si="0">IF(I4="ДА",($C$4+$C$5)*J4,0)</f>
        <v>0</v>
      </c>
      <c r="L4" s="493"/>
    </row>
    <row r="5" spans="1:13" ht="13.5" thickBot="1">
      <c r="A5" s="446"/>
      <c r="B5" s="447" t="s">
        <v>414</v>
      </c>
      <c r="C5" s="557">
        <v>0</v>
      </c>
      <c r="D5" s="1169"/>
      <c r="E5" s="1170"/>
      <c r="F5" s="1171"/>
      <c r="G5" s="530"/>
      <c r="H5" s="425" t="s">
        <v>591</v>
      </c>
      <c r="I5" s="631" t="str">
        <f>IF(AND($C$6+$C$7=1,$C$8+$C$9=0,$C$10=3),"ДА","НЕТ")</f>
        <v>НЕТ</v>
      </c>
      <c r="J5" s="329"/>
      <c r="K5" s="326">
        <f t="shared" si="0"/>
        <v>0</v>
      </c>
      <c r="L5" s="530"/>
      <c r="M5" s="255"/>
    </row>
    <row r="6" spans="1:13" ht="12.75" customHeight="1">
      <c r="A6" s="446"/>
      <c r="B6" s="414" t="s">
        <v>498</v>
      </c>
      <c r="C6" s="471">
        <v>0</v>
      </c>
      <c r="D6" s="427" t="s">
        <v>287</v>
      </c>
      <c r="E6" s="632" t="s">
        <v>255</v>
      </c>
      <c r="F6" s="1174" t="s">
        <v>597</v>
      </c>
      <c r="G6" s="530"/>
      <c r="H6" s="425" t="s">
        <v>487</v>
      </c>
      <c r="I6" s="631" t="str">
        <f>IF(AND($C$6+$C$7=1,$C$8+$C$9=0,$C$10=2),"ДА","НЕТ")</f>
        <v>НЕТ</v>
      </c>
      <c r="J6" s="329"/>
      <c r="K6" s="326">
        <f t="shared" si="0"/>
        <v>0</v>
      </c>
      <c r="L6" s="530"/>
      <c r="M6" s="255"/>
    </row>
    <row r="7" spans="1:13" ht="12.75">
      <c r="A7" s="446"/>
      <c r="B7" s="424" t="s">
        <v>499</v>
      </c>
      <c r="C7" s="468">
        <v>0</v>
      </c>
      <c r="D7" s="431" t="s">
        <v>287</v>
      </c>
      <c r="E7" s="431" t="s">
        <v>255</v>
      </c>
      <c r="F7" s="1175"/>
      <c r="G7" s="530"/>
      <c r="H7" s="425" t="s">
        <v>488</v>
      </c>
      <c r="I7" s="631" t="str">
        <f>IF(AND($C$6+$C$7=1,$C$8+$C$9=0,$C$10=2),"ДА","НЕТ")</f>
        <v>НЕТ</v>
      </c>
      <c r="J7" s="329"/>
      <c r="K7" s="326">
        <f t="shared" si="0"/>
        <v>0</v>
      </c>
      <c r="L7" s="530"/>
      <c r="M7" s="255"/>
    </row>
    <row r="8" spans="1:13" ht="12.75">
      <c r="A8" s="446"/>
      <c r="B8" s="424" t="s">
        <v>500</v>
      </c>
      <c r="C8" s="468">
        <v>0</v>
      </c>
      <c r="D8" s="431" t="s">
        <v>287</v>
      </c>
      <c r="E8" s="431" t="s">
        <v>255</v>
      </c>
      <c r="F8" s="1175"/>
      <c r="G8" s="530"/>
      <c r="H8" s="425" t="s">
        <v>494</v>
      </c>
      <c r="I8" s="631" t="str">
        <f>IF(AND($C$6+$C$7=1,$C$8+$C$9=0,$C$10=2),"ДА","НЕТ")</f>
        <v>НЕТ</v>
      </c>
      <c r="J8" s="329"/>
      <c r="K8" s="326">
        <f t="shared" si="0"/>
        <v>0</v>
      </c>
      <c r="L8" s="530"/>
      <c r="M8" s="255"/>
    </row>
    <row r="9" spans="1:13" ht="13.5" thickBot="1">
      <c r="A9" s="446"/>
      <c r="B9" s="497" t="s">
        <v>501</v>
      </c>
      <c r="C9" s="479">
        <v>0</v>
      </c>
      <c r="D9" s="633" t="s">
        <v>287</v>
      </c>
      <c r="E9" s="524" t="s">
        <v>255</v>
      </c>
      <c r="F9" s="1176"/>
      <c r="G9" s="530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  <c r="L9" s="530"/>
      <c r="M9" s="255"/>
    </row>
    <row r="10" spans="1:13" ht="13.5" thickBot="1">
      <c r="A10" s="446"/>
      <c r="B10" s="436" t="s">
        <v>589</v>
      </c>
      <c r="C10" s="555"/>
      <c r="D10" s="440" t="s">
        <v>619</v>
      </c>
      <c r="E10" s="440" t="s">
        <v>620</v>
      </c>
      <c r="F10" s="634" t="s">
        <v>621</v>
      </c>
      <c r="G10" s="530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  <c r="L10" s="530"/>
      <c r="M10" s="255"/>
    </row>
    <row r="11" spans="1:13" ht="12.75">
      <c r="A11" s="446"/>
      <c r="B11" s="426" t="s">
        <v>393</v>
      </c>
      <c r="C11" s="469">
        <v>0</v>
      </c>
      <c r="D11" s="635" t="s">
        <v>394</v>
      </c>
      <c r="E11" s="429" t="s">
        <v>395</v>
      </c>
      <c r="F11" s="1206"/>
      <c r="G11" s="412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  <c r="L11" s="412"/>
    </row>
    <row r="12" spans="1:13" ht="13.5" thickBot="1">
      <c r="A12" s="446"/>
      <c r="B12" s="497" t="s">
        <v>358</v>
      </c>
      <c r="C12" s="479">
        <v>0</v>
      </c>
      <c r="D12" s="498" t="s">
        <v>417</v>
      </c>
      <c r="E12" s="498" t="s">
        <v>418</v>
      </c>
      <c r="F12" s="1207"/>
      <c r="G12" s="412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  <c r="L12" s="412"/>
    </row>
    <row r="13" spans="1:13" ht="12.75" customHeight="1">
      <c r="A13" s="446"/>
      <c r="B13" s="414" t="s">
        <v>397</v>
      </c>
      <c r="C13" s="471">
        <v>0</v>
      </c>
      <c r="D13" s="427" t="s">
        <v>287</v>
      </c>
      <c r="E13" s="427" t="s">
        <v>255</v>
      </c>
      <c r="F13" s="1187" t="s">
        <v>597</v>
      </c>
      <c r="G13" s="412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  <c r="L13" s="412"/>
    </row>
    <row r="14" spans="1:13" ht="13.5" thickBot="1">
      <c r="A14" s="446"/>
      <c r="B14" s="419" t="s">
        <v>398</v>
      </c>
      <c r="C14" s="470">
        <v>0</v>
      </c>
      <c r="D14" s="494" t="s">
        <v>287</v>
      </c>
      <c r="E14" s="494" t="s">
        <v>255</v>
      </c>
      <c r="F14" s="1188"/>
      <c r="G14" s="637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  <c r="L14" s="637"/>
    </row>
    <row r="15" spans="1:13" ht="12.75">
      <c r="A15" s="446"/>
      <c r="B15" s="736" t="s">
        <v>147</v>
      </c>
      <c r="C15" s="471">
        <v>0</v>
      </c>
      <c r="D15" s="1178" t="s">
        <v>686</v>
      </c>
      <c r="E15" s="1178"/>
      <c r="F15" s="1179"/>
      <c r="G15" s="412"/>
      <c r="H15" s="423" t="s">
        <v>390</v>
      </c>
      <c r="I15" s="631" t="str">
        <f>IF(AND($C$6+$C$7=0,$C$8+$C$9=1,$C$10=2),"ДА","НЕТ")</f>
        <v>НЕТ</v>
      </c>
      <c r="J15" s="332"/>
      <c r="K15" s="326">
        <f t="shared" si="0"/>
        <v>0</v>
      </c>
      <c r="L15" s="412"/>
    </row>
    <row r="16" spans="1:13" ht="13.5" thickBot="1">
      <c r="A16" s="446"/>
      <c r="B16" s="737" t="s">
        <v>146</v>
      </c>
      <c r="C16" s="470">
        <v>0</v>
      </c>
      <c r="D16" s="1184" t="s">
        <v>687</v>
      </c>
      <c r="E16" s="1184"/>
      <c r="F16" s="1185"/>
      <c r="G16" s="412"/>
      <c r="H16" s="571"/>
      <c r="I16" s="735"/>
      <c r="J16" s="343"/>
      <c r="K16" s="344"/>
      <c r="L16" s="412"/>
    </row>
    <row r="17" spans="1:12" ht="13.5" thickBot="1">
      <c r="A17" s="446"/>
      <c r="B17" s="730"/>
      <c r="C17" s="730"/>
      <c r="D17" s="730"/>
      <c r="E17" s="730"/>
      <c r="F17" s="446"/>
      <c r="G17" s="412"/>
      <c r="H17" s="571"/>
      <c r="I17" s="735"/>
      <c r="J17" s="343"/>
      <c r="K17" s="344"/>
      <c r="L17" s="412"/>
    </row>
    <row r="18" spans="1:12" ht="12.75">
      <c r="A18" s="446"/>
      <c r="B18" s="451" t="s">
        <v>5</v>
      </c>
      <c r="C18" s="452" t="s">
        <v>0</v>
      </c>
      <c r="D18" s="638" t="s">
        <v>4</v>
      </c>
      <c r="E18" s="454" t="s">
        <v>8</v>
      </c>
      <c r="F18" s="446"/>
      <c r="G18" s="412"/>
      <c r="H18" s="412"/>
      <c r="I18" s="412"/>
      <c r="J18" s="412"/>
      <c r="K18" s="412"/>
      <c r="L18" s="412"/>
    </row>
    <row r="19" spans="1:12">
      <c r="A19" s="446"/>
      <c r="B19" s="458" t="s">
        <v>641</v>
      </c>
      <c r="C19" s="354">
        <f>EVEN(ROUNDDOWN(IF(C4+C5&gt;0.9,(C4+C5)*C2/0.5,0),0))</f>
        <v>0</v>
      </c>
      <c r="D19" s="355">
        <v>1</v>
      </c>
      <c r="E19" s="351">
        <f>C19*D19</f>
        <v>0</v>
      </c>
      <c r="F19" s="448"/>
      <c r="G19" s="496"/>
      <c r="H19" s="412"/>
      <c r="I19" s="412"/>
      <c r="J19" s="412"/>
      <c r="K19" s="412"/>
      <c r="L19" s="412"/>
    </row>
    <row r="20" spans="1:12">
      <c r="A20" s="446"/>
      <c r="B20" s="458" t="s">
        <v>420</v>
      </c>
      <c r="C20" s="354">
        <f>IF(AND(C6+C7&gt;0,C8+C9=0,C12=0),(C4+C5)*2,0)</f>
        <v>0</v>
      </c>
      <c r="D20" s="355"/>
      <c r="E20" s="351">
        <f t="shared" ref="E20:E25" si="1">C20*D20</f>
        <v>0</v>
      </c>
      <c r="F20" s="457"/>
      <c r="G20" s="639"/>
      <c r="H20" s="412"/>
      <c r="I20" s="412"/>
      <c r="J20" s="412"/>
      <c r="K20" s="412"/>
      <c r="L20" s="412"/>
    </row>
    <row r="21" spans="1:12">
      <c r="A21" s="446"/>
      <c r="B21" s="458" t="s">
        <v>421</v>
      </c>
      <c r="C21" s="357">
        <f>IF(AND(C6+C7&gt;0,C8+C9=0,C12=1),(C4+C5)*2,0)</f>
        <v>0</v>
      </c>
      <c r="D21" s="358"/>
      <c r="E21" s="351">
        <f t="shared" si="1"/>
        <v>0</v>
      </c>
      <c r="F21" s="640"/>
      <c r="G21" s="639"/>
      <c r="H21" s="412"/>
      <c r="I21" s="412"/>
      <c r="J21" s="412"/>
      <c r="K21" s="412"/>
      <c r="L21" s="412"/>
    </row>
    <row r="22" spans="1:12">
      <c r="A22" s="446"/>
      <c r="B22" s="458" t="s">
        <v>420</v>
      </c>
      <c r="C22" s="354">
        <f>IF(AND(C6+C7=0,C8+C9&gt;0,C12=0),(C4+C5),0)</f>
        <v>0</v>
      </c>
      <c r="D22" s="355"/>
      <c r="E22" s="351">
        <f t="shared" si="1"/>
        <v>0</v>
      </c>
      <c r="F22" s="446"/>
      <c r="G22" s="412"/>
      <c r="H22" s="412"/>
      <c r="I22" s="412"/>
      <c r="J22" s="412"/>
      <c r="K22" s="412"/>
      <c r="L22" s="412"/>
    </row>
    <row r="23" spans="1:12">
      <c r="A23" s="446"/>
      <c r="B23" s="458" t="s">
        <v>421</v>
      </c>
      <c r="C23" s="357">
        <f>IF(AND(C6+C7=0,C8+C9&gt;0,C12=1),(C4+C5),0)</f>
        <v>0</v>
      </c>
      <c r="D23" s="358"/>
      <c r="E23" s="351">
        <f t="shared" si="1"/>
        <v>0</v>
      </c>
      <c r="F23" s="446"/>
      <c r="G23" s="412"/>
      <c r="H23" s="412"/>
      <c r="I23" s="412"/>
      <c r="J23" s="412"/>
      <c r="K23" s="412"/>
      <c r="L23" s="412"/>
    </row>
    <row r="24" spans="1:12">
      <c r="A24" s="446"/>
      <c r="B24" s="458" t="s">
        <v>511</v>
      </c>
      <c r="C24" s="354">
        <f>IF(AND(C6+C7=0,C8+C9&gt;0,C12=0),(C4+C5),0)</f>
        <v>0</v>
      </c>
      <c r="D24" s="355"/>
      <c r="E24" s="351">
        <f t="shared" si="1"/>
        <v>0</v>
      </c>
      <c r="F24" s="446"/>
      <c r="G24" s="412"/>
      <c r="H24" s="412"/>
      <c r="I24" s="412"/>
      <c r="J24" s="412"/>
      <c r="K24" s="412"/>
      <c r="L24" s="412"/>
    </row>
    <row r="25" spans="1:12">
      <c r="A25" s="446"/>
      <c r="B25" s="458" t="s">
        <v>512</v>
      </c>
      <c r="C25" s="357">
        <f>IF(AND(C6+C7=0,C8+C9&gt;0,C12=1),(C4+C5),0)</f>
        <v>0</v>
      </c>
      <c r="D25" s="358"/>
      <c r="E25" s="351">
        <f t="shared" si="1"/>
        <v>0</v>
      </c>
      <c r="F25" s="450"/>
      <c r="G25" s="412"/>
      <c r="H25" s="412"/>
      <c r="I25" s="412"/>
      <c r="J25" s="412"/>
      <c r="K25" s="412"/>
      <c r="L25" s="412"/>
    </row>
    <row r="26" spans="1:12">
      <c r="A26" s="446"/>
      <c r="B26" s="458" t="s">
        <v>643</v>
      </c>
      <c r="C26" s="357">
        <f>(C4+C5)*2</f>
        <v>0</v>
      </c>
      <c r="D26" s="358"/>
      <c r="E26" s="351">
        <f t="shared" ref="E26:E46" si="2">C26*D26</f>
        <v>0</v>
      </c>
      <c r="F26" s="446"/>
      <c r="G26" s="412"/>
      <c r="H26" s="412"/>
      <c r="I26" s="412"/>
      <c r="J26" s="412"/>
      <c r="K26" s="412"/>
      <c r="L26" s="412"/>
    </row>
    <row r="27" spans="1:12">
      <c r="A27" s="446"/>
      <c r="B27" s="458" t="s">
        <v>432</v>
      </c>
      <c r="C27" s="349">
        <f>C4</f>
        <v>0</v>
      </c>
      <c r="D27" s="350"/>
      <c r="E27" s="351">
        <f t="shared" si="2"/>
        <v>0</v>
      </c>
      <c r="F27" s="446"/>
      <c r="G27" s="412"/>
      <c r="H27" s="412"/>
      <c r="I27" s="412"/>
      <c r="J27" s="412"/>
      <c r="K27" s="412"/>
      <c r="L27" s="412"/>
    </row>
    <row r="28" spans="1:12">
      <c r="A28" s="446"/>
      <c r="B28" s="458" t="s">
        <v>433</v>
      </c>
      <c r="C28" s="354">
        <f>C4*2</f>
        <v>0</v>
      </c>
      <c r="D28" s="355"/>
      <c r="E28" s="351">
        <f t="shared" si="2"/>
        <v>0</v>
      </c>
      <c r="F28" s="446"/>
      <c r="G28" s="412"/>
      <c r="H28" s="412"/>
      <c r="I28" s="412"/>
      <c r="J28" s="412"/>
      <c r="K28" s="412"/>
      <c r="L28" s="412"/>
    </row>
    <row r="29" spans="1:12">
      <c r="A29" s="446"/>
      <c r="B29" s="458" t="s">
        <v>434</v>
      </c>
      <c r="C29" s="354">
        <f>C5</f>
        <v>0</v>
      </c>
      <c r="D29" s="355"/>
      <c r="E29" s="351">
        <f t="shared" si="2"/>
        <v>0</v>
      </c>
      <c r="F29" s="446"/>
      <c r="G29" s="412"/>
      <c r="H29" s="412"/>
      <c r="I29" s="412"/>
      <c r="J29" s="412"/>
      <c r="K29" s="412"/>
      <c r="L29" s="412"/>
    </row>
    <row r="30" spans="1:12">
      <c r="A30" s="446"/>
      <c r="B30" s="458" t="s">
        <v>651</v>
      </c>
      <c r="C30" s="354">
        <f>(C4+C5)*2</f>
        <v>0</v>
      </c>
      <c r="D30" s="355"/>
      <c r="E30" s="351">
        <f t="shared" si="2"/>
        <v>0</v>
      </c>
      <c r="F30" s="446"/>
      <c r="G30" s="412"/>
      <c r="H30" s="412"/>
      <c r="I30" s="412"/>
      <c r="J30" s="412"/>
      <c r="K30" s="412"/>
      <c r="L30" s="412"/>
    </row>
    <row r="31" spans="1:12">
      <c r="A31" s="446"/>
      <c r="B31" s="456" t="s">
        <v>474</v>
      </c>
      <c r="C31" s="354">
        <f>(C4+C5)*C2*2</f>
        <v>0</v>
      </c>
      <c r="D31" s="355"/>
      <c r="E31" s="351">
        <f t="shared" si="2"/>
        <v>0</v>
      </c>
      <c r="F31" s="446"/>
      <c r="G31" s="412"/>
      <c r="H31" s="412"/>
      <c r="I31" s="412"/>
      <c r="J31" s="412"/>
      <c r="K31" s="412"/>
      <c r="L31" s="412"/>
    </row>
    <row r="32" spans="1:12">
      <c r="A32" s="446"/>
      <c r="B32" s="458" t="s">
        <v>401</v>
      </c>
      <c r="C32" s="354">
        <f>(C4+C5)*C2</f>
        <v>0</v>
      </c>
      <c r="D32" s="360"/>
      <c r="E32" s="351">
        <f t="shared" si="2"/>
        <v>0</v>
      </c>
      <c r="F32" s="446"/>
      <c r="G32" s="412"/>
      <c r="H32" s="412"/>
      <c r="I32" s="412"/>
      <c r="J32" s="412"/>
      <c r="K32" s="412"/>
      <c r="L32" s="412"/>
    </row>
    <row r="33" spans="1:12">
      <c r="A33" s="446"/>
      <c r="B33" s="458" t="s">
        <v>402</v>
      </c>
      <c r="C33" s="354">
        <f>C14*(C4+C5)*C2</f>
        <v>0</v>
      </c>
      <c r="D33" s="360"/>
      <c r="E33" s="351">
        <f t="shared" si="2"/>
        <v>0</v>
      </c>
      <c r="F33" s="446"/>
      <c r="G33" s="412"/>
      <c r="H33" s="412"/>
      <c r="I33" s="412"/>
      <c r="J33" s="412"/>
      <c r="K33" s="412"/>
      <c r="L33" s="412"/>
    </row>
    <row r="34" spans="1:12">
      <c r="A34" s="446"/>
      <c r="B34" s="456" t="s">
        <v>399</v>
      </c>
      <c r="C34" s="349">
        <f>IF(C14=0,C13*2*(C4+C5),0)</f>
        <v>0</v>
      </c>
      <c r="D34" s="360"/>
      <c r="E34" s="351">
        <f t="shared" si="2"/>
        <v>0</v>
      </c>
      <c r="F34" s="446"/>
      <c r="G34" s="412"/>
      <c r="H34" s="412"/>
      <c r="I34" s="412"/>
      <c r="J34" s="412"/>
      <c r="K34" s="412"/>
      <c r="L34" s="412"/>
    </row>
    <row r="35" spans="1:12">
      <c r="A35" s="446"/>
      <c r="B35" s="456" t="s">
        <v>400</v>
      </c>
      <c r="C35" s="349">
        <f>IF(C13=0,C14*(C4+C5),0)</f>
        <v>0</v>
      </c>
      <c r="D35" s="360"/>
      <c r="E35" s="351">
        <f t="shared" si="2"/>
        <v>0</v>
      </c>
      <c r="F35" s="446"/>
      <c r="G35" s="412"/>
      <c r="H35" s="412"/>
      <c r="I35" s="412"/>
      <c r="J35" s="412"/>
      <c r="K35" s="412"/>
      <c r="L35" s="412"/>
    </row>
    <row r="36" spans="1:12">
      <c r="A36" s="446"/>
      <c r="B36" s="456" t="s">
        <v>461</v>
      </c>
      <c r="C36" s="361">
        <f>C4*C2</f>
        <v>0</v>
      </c>
      <c r="D36" s="355"/>
      <c r="E36" s="351">
        <f t="shared" si="2"/>
        <v>0</v>
      </c>
      <c r="F36" s="446"/>
      <c r="G36" s="412"/>
      <c r="H36" s="412"/>
      <c r="I36" s="412"/>
      <c r="J36" s="412"/>
      <c r="K36" s="412"/>
      <c r="L36" s="412"/>
    </row>
    <row r="37" spans="1:12">
      <c r="A37" s="446"/>
      <c r="B37" s="456" t="s">
        <v>462</v>
      </c>
      <c r="C37" s="361">
        <f>C5*C2</f>
        <v>0</v>
      </c>
      <c r="D37" s="355"/>
      <c r="E37" s="351">
        <f t="shared" si="2"/>
        <v>0</v>
      </c>
      <c r="F37" s="460"/>
      <c r="G37" s="412"/>
      <c r="H37" s="412"/>
      <c r="I37" s="412"/>
      <c r="J37" s="412"/>
      <c r="K37" s="412"/>
      <c r="L37" s="412"/>
    </row>
    <row r="38" spans="1:12" ht="11.25" customHeight="1">
      <c r="A38" s="446"/>
      <c r="B38" s="456" t="s">
        <v>422</v>
      </c>
      <c r="C38" s="361">
        <f>(C4+C5)*C2</f>
        <v>0</v>
      </c>
      <c r="D38" s="355"/>
      <c r="E38" s="351">
        <f t="shared" si="2"/>
        <v>0</v>
      </c>
      <c r="F38" s="446"/>
      <c r="G38" s="412"/>
      <c r="H38" s="412"/>
      <c r="I38" s="412"/>
      <c r="J38" s="412"/>
      <c r="K38" s="412"/>
      <c r="L38" s="412"/>
    </row>
    <row r="39" spans="1:12">
      <c r="A39" s="446"/>
      <c r="B39" s="458" t="s">
        <v>647</v>
      </c>
      <c r="C39" s="361">
        <f>C4+C5</f>
        <v>0</v>
      </c>
      <c r="D39" s="355"/>
      <c r="E39" s="351">
        <f t="shared" si="2"/>
        <v>0</v>
      </c>
      <c r="F39" s="446"/>
      <c r="G39" s="412"/>
      <c r="H39" s="412"/>
      <c r="I39" s="412"/>
      <c r="J39" s="412"/>
      <c r="K39" s="412"/>
      <c r="L39" s="412"/>
    </row>
    <row r="40" spans="1:12">
      <c r="A40" s="446"/>
      <c r="B40" s="458" t="s">
        <v>424</v>
      </c>
      <c r="C40" s="361">
        <f>(C4+C5)*4</f>
        <v>0</v>
      </c>
      <c r="D40" s="355"/>
      <c r="E40" s="351">
        <f t="shared" si="2"/>
        <v>0</v>
      </c>
      <c r="F40" s="446"/>
      <c r="G40" s="412"/>
      <c r="H40" s="412"/>
      <c r="I40" s="412"/>
      <c r="J40" s="412"/>
      <c r="K40" s="412"/>
      <c r="L40" s="412"/>
    </row>
    <row r="41" spans="1:12">
      <c r="A41" s="446"/>
      <c r="B41" s="459" t="s">
        <v>378</v>
      </c>
      <c r="C41" s="361">
        <f>C6*C4</f>
        <v>0</v>
      </c>
      <c r="D41" s="360"/>
      <c r="E41" s="351">
        <f t="shared" si="2"/>
        <v>0</v>
      </c>
      <c r="F41" s="446"/>
      <c r="G41" s="412"/>
      <c r="H41" s="412"/>
      <c r="I41" s="412"/>
      <c r="J41" s="412"/>
      <c r="K41" s="412"/>
      <c r="L41" s="412"/>
    </row>
    <row r="42" spans="1:12">
      <c r="A42" s="446"/>
      <c r="B42" s="459" t="s">
        <v>598</v>
      </c>
      <c r="C42" s="361">
        <f>C8*C6</f>
        <v>0</v>
      </c>
      <c r="D42" s="360"/>
      <c r="E42" s="351">
        <f t="shared" si="2"/>
        <v>0</v>
      </c>
      <c r="F42" s="446"/>
      <c r="G42" s="412"/>
      <c r="H42" s="412"/>
      <c r="I42" s="412"/>
      <c r="J42" s="412"/>
      <c r="K42" s="412"/>
      <c r="L42" s="412"/>
    </row>
    <row r="43" spans="1:12" ht="11.25" customHeight="1">
      <c r="A43" s="446"/>
      <c r="B43" s="459" t="s">
        <v>436</v>
      </c>
      <c r="C43" s="361">
        <f>C7*C5</f>
        <v>0</v>
      </c>
      <c r="D43" s="355"/>
      <c r="E43" s="351">
        <f t="shared" si="2"/>
        <v>0</v>
      </c>
      <c r="F43" s="446"/>
      <c r="G43" s="412"/>
      <c r="H43" s="412"/>
      <c r="I43" s="412"/>
      <c r="J43" s="412"/>
      <c r="K43" s="412"/>
      <c r="L43" s="412"/>
    </row>
    <row r="44" spans="1:12" ht="11.25" customHeight="1">
      <c r="A44" s="446"/>
      <c r="B44" s="532" t="s">
        <v>145</v>
      </c>
      <c r="C44" s="513">
        <f>C16</f>
        <v>0</v>
      </c>
      <c r="D44" s="529"/>
      <c r="E44" s="407">
        <f t="shared" si="2"/>
        <v>0</v>
      </c>
      <c r="F44" s="446"/>
      <c r="G44" s="412"/>
      <c r="H44" s="412"/>
      <c r="I44" s="412"/>
      <c r="J44" s="412"/>
      <c r="K44" s="412"/>
      <c r="L44" s="412"/>
    </row>
    <row r="45" spans="1:12" ht="11.25" customHeight="1">
      <c r="A45" s="446"/>
      <c r="B45" s="458" t="s">
        <v>148</v>
      </c>
      <c r="C45" s="354">
        <f>C15</f>
        <v>0</v>
      </c>
      <c r="D45" s="360"/>
      <c r="E45" s="351">
        <f t="shared" si="2"/>
        <v>0</v>
      </c>
      <c r="F45" s="446"/>
      <c r="G45" s="412"/>
      <c r="H45" s="412"/>
      <c r="I45" s="412"/>
      <c r="J45" s="412"/>
      <c r="K45" s="412"/>
      <c r="L45" s="412"/>
    </row>
    <row r="46" spans="1:12" ht="12" thickBot="1">
      <c r="A46" s="446"/>
      <c r="B46" s="461" t="s">
        <v>599</v>
      </c>
      <c r="C46" s="409">
        <f>C9*C5</f>
        <v>0</v>
      </c>
      <c r="D46" s="410"/>
      <c r="E46" s="411">
        <f t="shared" si="2"/>
        <v>0</v>
      </c>
      <c r="F46" s="446"/>
      <c r="G46" s="412"/>
      <c r="H46" s="412"/>
      <c r="I46" s="412"/>
      <c r="J46" s="412"/>
      <c r="K46" s="412"/>
      <c r="L46" s="412"/>
    </row>
    <row r="47" spans="1:12" ht="13.5" thickBot="1">
      <c r="A47" s="446"/>
      <c r="B47" s="446"/>
      <c r="C47" s="446"/>
      <c r="D47" s="462" t="s">
        <v>9</v>
      </c>
      <c r="E47" s="534">
        <f>SUMIF(E20:E46,"&gt;0",E20:E46)</f>
        <v>0</v>
      </c>
      <c r="F47" s="446"/>
      <c r="G47" s="412"/>
      <c r="H47" s="412"/>
      <c r="I47" s="412"/>
      <c r="J47" s="412"/>
      <c r="K47" s="412"/>
      <c r="L47" s="412"/>
    </row>
    <row r="48" spans="1:12">
      <c r="A48" s="446"/>
      <c r="B48" s="446"/>
      <c r="C48" s="446"/>
      <c r="D48" s="446"/>
      <c r="E48" s="446"/>
      <c r="F48" s="446"/>
      <c r="G48" s="412"/>
      <c r="H48" s="412"/>
      <c r="I48" s="412"/>
      <c r="J48" s="412"/>
      <c r="K48" s="412"/>
      <c r="L48" s="412"/>
    </row>
    <row r="49" spans="1:6">
      <c r="A49" s="323"/>
      <c r="B49" s="323"/>
      <c r="C49" s="323"/>
      <c r="D49" s="323"/>
      <c r="E49" s="323"/>
      <c r="F49" s="323"/>
    </row>
    <row r="50" spans="1:6" ht="11.25" customHeight="1">
      <c r="A50" s="323"/>
      <c r="B50" s="323"/>
      <c r="C50" s="323"/>
      <c r="D50" s="323"/>
      <c r="E50" s="323"/>
      <c r="F50" s="323"/>
    </row>
    <row r="51" spans="1:6">
      <c r="A51" s="323"/>
      <c r="B51" s="323"/>
      <c r="C51" s="323"/>
      <c r="D51" s="323"/>
      <c r="E51" s="323"/>
      <c r="F51" s="323"/>
    </row>
    <row r="52" spans="1:6">
      <c r="A52" s="323"/>
      <c r="B52" s="323"/>
      <c r="C52" s="323"/>
      <c r="D52" s="323"/>
      <c r="E52" s="323"/>
      <c r="F52" s="323"/>
    </row>
    <row r="53" spans="1:6">
      <c r="A53" s="323"/>
      <c r="B53" s="323"/>
      <c r="C53" s="323"/>
      <c r="D53" s="323"/>
      <c r="E53" s="323"/>
      <c r="F53" s="323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393" priority="3" operator="greaterThan">
      <formula>0</formula>
    </cfRule>
    <cfRule type="cellIs" dxfId="392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91" priority="28" operator="equal">
      <formula>"ДА"</formula>
    </cfRule>
    <cfRule type="cellIs" dxfId="390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9" priority="25" operator="equal">
      <formula>"ДА"</formula>
    </cfRule>
    <cfRule type="cellIs" dxfId="388" priority="26" operator="equal">
      <formula>"НЕТ"</formula>
    </cfRule>
  </conditionalFormatting>
  <conditionalFormatting sqref="I5">
    <cfRule type="cellIs" dxfId="387" priority="22" operator="equal">
      <formula>"ДА"</formula>
    </cfRule>
    <cfRule type="cellIs" dxfId="386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85" priority="18" operator="equal">
      <formula>"ДА"</formula>
    </cfRule>
    <cfRule type="cellIs" dxfId="384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83" priority="14" operator="equal">
      <formula>"ДА"</formula>
    </cfRule>
    <cfRule type="cellIs" dxfId="382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81" priority="9" operator="greaterThan">
      <formula>0</formula>
    </cfRule>
  </conditionalFormatting>
  <conditionalFormatting sqref="C2:C14">
    <cfRule type="cellIs" dxfId="380" priority="7" operator="greaterThan">
      <formula>0</formula>
    </cfRule>
  </conditionalFormatting>
  <conditionalFormatting sqref="C24:E43 C46:E46">
    <cfRule type="cellIs" dxfId="379" priority="6" operator="greaterThan">
      <formula>0</formula>
    </cfRule>
  </conditionalFormatting>
  <conditionalFormatting sqref="E47">
    <cfRule type="cellIs" dxfId="378" priority="4" operator="greaterThan">
      <formula>0</formula>
    </cfRule>
    <cfRule type="cellIs" dxfId="377" priority="5" operator="greaterThan">
      <formula>0</formula>
    </cfRule>
  </conditionalFormatting>
  <conditionalFormatting sqref="C15:C16">
    <cfRule type="cellIs" dxfId="376" priority="2" operator="greaterThan">
      <formula>0</formula>
    </cfRule>
  </conditionalFormatting>
  <conditionalFormatting sqref="C44:E45">
    <cfRule type="cellIs" dxfId="37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26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12"/>
      <c r="B1" s="1164"/>
      <c r="C1" s="1165"/>
      <c r="D1" s="1165"/>
      <c r="E1" s="1165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10</v>
      </c>
      <c r="C2" s="465">
        <v>4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1</v>
      </c>
      <c r="C3" s="466">
        <v>2</v>
      </c>
      <c r="D3" s="1169"/>
      <c r="E3" s="1170"/>
      <c r="F3" s="1171"/>
      <c r="G3" s="412"/>
      <c r="H3" s="420" t="s">
        <v>489</v>
      </c>
      <c r="I3" s="630" t="str">
        <f>IF(AND($C$9+$C$10+$C$11=1,$C$12+$C$13+$C$14=0,C15=1),"ДА","НЕТ")</f>
        <v>ДА</v>
      </c>
      <c r="J3" s="325"/>
      <c r="K3" s="326">
        <f>IF(I3="ДА",($C$4+$C$5+$C$6+$C$7+$C$8+$C$9)*J3,0)</f>
        <v>0</v>
      </c>
      <c r="L3" s="412"/>
    </row>
    <row r="4" spans="1:12" ht="12" customHeight="1">
      <c r="A4" s="412"/>
      <c r="B4" s="414" t="s">
        <v>438</v>
      </c>
      <c r="C4" s="471">
        <v>0</v>
      </c>
      <c r="D4" s="1166" t="s">
        <v>597</v>
      </c>
      <c r="E4" s="1167"/>
      <c r="F4" s="1168"/>
      <c r="G4" s="412"/>
      <c r="H4" s="425" t="s">
        <v>486</v>
      </c>
      <c r="I4" s="631" t="str">
        <f>IF(AND($C$9+$C$10+$C$11=1,$C$12+$C$13+$C$14=0,C15=3),"ДА","НЕТ")</f>
        <v>НЕТ</v>
      </c>
      <c r="J4" s="329"/>
      <c r="K4" s="330">
        <f t="shared" ref="K4:K19" si="0">IF(I4="ДА",($C$4+$C$5+$C$6+$C$7+$C$8+$C$9)*J4,0)</f>
        <v>0</v>
      </c>
      <c r="L4" s="412"/>
    </row>
    <row r="5" spans="1:12" ht="12" customHeight="1">
      <c r="A5" s="412"/>
      <c r="B5" s="424" t="s">
        <v>439</v>
      </c>
      <c r="C5" s="468">
        <v>0</v>
      </c>
      <c r="D5" s="1186"/>
      <c r="E5" s="1172"/>
      <c r="F5" s="1173"/>
      <c r="G5" s="412"/>
      <c r="H5" s="425" t="s">
        <v>591</v>
      </c>
      <c r="I5" s="631" t="str">
        <f>IF(AND($C$9+$C$10+$C$11=1,$C$12+$C$13+$C$14=0,C15=3),"ДА","НЕТ")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447" t="s">
        <v>629</v>
      </c>
      <c r="C6" s="473">
        <v>1</v>
      </c>
      <c r="D6" s="1186"/>
      <c r="E6" s="1172"/>
      <c r="F6" s="1173"/>
      <c r="G6" s="412"/>
      <c r="H6" s="425" t="s">
        <v>487</v>
      </c>
      <c r="I6" s="631" t="str">
        <f>IF(AND($C$9+$C$10+$C$11=1,$C$12+$C$13+$C$14=0,C15=2),"ДА","НЕТ")</f>
        <v>НЕТ</v>
      </c>
      <c r="J6" s="329"/>
      <c r="K6" s="330">
        <f t="shared" si="0"/>
        <v>0</v>
      </c>
      <c r="L6" s="412"/>
    </row>
    <row r="7" spans="1:12" ht="12" customHeight="1" thickBot="1">
      <c r="A7" s="412"/>
      <c r="B7" s="436" t="s">
        <v>412</v>
      </c>
      <c r="C7" s="472">
        <v>0</v>
      </c>
      <c r="D7" s="440" t="s">
        <v>287</v>
      </c>
      <c r="E7" s="441" t="s">
        <v>255</v>
      </c>
      <c r="F7" s="570" t="s">
        <v>669</v>
      </c>
      <c r="G7" s="496"/>
      <c r="H7" s="425" t="s">
        <v>488</v>
      </c>
      <c r="I7" s="631" t="str">
        <f>IF(AND($C$9+$C$10+$C$11=1,$C$12+$C$13+$C$14=0,C15=2),"ДА","НЕТ")</f>
        <v>НЕТ</v>
      </c>
      <c r="J7" s="329"/>
      <c r="K7" s="330">
        <f t="shared" si="0"/>
        <v>0</v>
      </c>
      <c r="L7" s="412"/>
    </row>
    <row r="8" spans="1:12" ht="12" customHeight="1" thickBot="1">
      <c r="A8" s="412"/>
      <c r="B8" s="436" t="s">
        <v>481</v>
      </c>
      <c r="C8" s="472">
        <v>0</v>
      </c>
      <c r="D8" s="440" t="s">
        <v>287</v>
      </c>
      <c r="E8" s="441" t="s">
        <v>255</v>
      </c>
      <c r="F8" s="569"/>
      <c r="G8" s="530"/>
      <c r="H8" s="425" t="s">
        <v>494</v>
      </c>
      <c r="I8" s="631" t="str">
        <f>IF(AND($C$9+$C$10+$C$11=1,$C$12+$C$13+$C$14=0,C15=2),"ДА","НЕТ")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414" t="s">
        <v>498</v>
      </c>
      <c r="C9" s="471">
        <v>0</v>
      </c>
      <c r="D9" s="427" t="s">
        <v>287</v>
      </c>
      <c r="E9" s="428" t="s">
        <v>255</v>
      </c>
      <c r="F9" s="1174" t="s">
        <v>597</v>
      </c>
      <c r="G9" s="496"/>
      <c r="H9" s="420" t="s">
        <v>590</v>
      </c>
      <c r="I9" s="631" t="str">
        <f>IF(AND($C$9+$C$10+$C$11=1,$C$12+$C$13+$C$14=0,C15=1),"ДА","НЕТ")</f>
        <v>ДА</v>
      </c>
      <c r="J9" s="325"/>
      <c r="K9" s="326">
        <f t="shared" si="0"/>
        <v>0</v>
      </c>
      <c r="L9" s="412"/>
    </row>
    <row r="10" spans="1:12" ht="12" customHeight="1">
      <c r="A10" s="412"/>
      <c r="B10" s="424" t="s">
        <v>499</v>
      </c>
      <c r="C10" s="468">
        <v>0</v>
      </c>
      <c r="D10" s="431" t="s">
        <v>287</v>
      </c>
      <c r="E10" s="431" t="s">
        <v>255</v>
      </c>
      <c r="F10" s="1175"/>
      <c r="G10" s="412"/>
      <c r="H10" s="420" t="s">
        <v>383</v>
      </c>
      <c r="I10" s="631" t="str">
        <f>IF(AND($C$9+$C$10+$C$11+C14=0,$C$12+$C$13=1,C15=1),"ДА","НЕТ")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424" t="s">
        <v>587</v>
      </c>
      <c r="C11" s="468">
        <v>1</v>
      </c>
      <c r="D11" s="431" t="s">
        <v>287</v>
      </c>
      <c r="E11" s="431" t="s">
        <v>255</v>
      </c>
      <c r="F11" s="1175"/>
      <c r="G11" s="412"/>
      <c r="H11" s="423" t="s">
        <v>384</v>
      </c>
      <c r="I11" s="631" t="str">
        <f>IF(AND($C$9+$C$10+$C$11+C14=0,$C$12+$C$13=1,C15=1),"ДА","НЕТ")</f>
        <v>НЕТ</v>
      </c>
      <c r="J11" s="332"/>
      <c r="K11" s="333">
        <f t="shared" si="0"/>
        <v>0</v>
      </c>
      <c r="L11" s="412"/>
    </row>
    <row r="12" spans="1:12" ht="12" customHeight="1">
      <c r="A12" s="412"/>
      <c r="B12" s="426" t="s">
        <v>500</v>
      </c>
      <c r="C12" s="469">
        <v>0</v>
      </c>
      <c r="D12" s="429" t="s">
        <v>287</v>
      </c>
      <c r="E12" s="430" t="s">
        <v>255</v>
      </c>
      <c r="F12" s="1175"/>
      <c r="G12" s="412"/>
      <c r="H12" s="423" t="s">
        <v>385</v>
      </c>
      <c r="I12" s="631" t="str">
        <f>IF(AND($C$9+$C$10+$C$11+C14=0,$C$12+$C$13=1,C15=1),"ДА","НЕТ")</f>
        <v>НЕТ</v>
      </c>
      <c r="J12" s="335"/>
      <c r="K12" s="333">
        <f t="shared" si="0"/>
        <v>0</v>
      </c>
      <c r="L12" s="412"/>
    </row>
    <row r="13" spans="1:12" ht="12" customHeight="1">
      <c r="A13" s="412"/>
      <c r="B13" s="424" t="s">
        <v>501</v>
      </c>
      <c r="C13" s="468">
        <v>0</v>
      </c>
      <c r="D13" s="431" t="s">
        <v>287</v>
      </c>
      <c r="E13" s="432" t="s">
        <v>255</v>
      </c>
      <c r="F13" s="1175"/>
      <c r="G13" s="412"/>
      <c r="H13" s="423" t="s">
        <v>592</v>
      </c>
      <c r="I13" s="631" t="str">
        <f>IF(AND($C$10+$C$11+$C$12+$C$13+$C$9=0,$C$14=1,C15=1),"ДА","НЕТ")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447" t="s">
        <v>588</v>
      </c>
      <c r="C14" s="473">
        <v>0</v>
      </c>
      <c r="D14" s="431" t="s">
        <v>287</v>
      </c>
      <c r="E14" s="432" t="s">
        <v>255</v>
      </c>
      <c r="F14" s="1176"/>
      <c r="G14" s="412"/>
      <c r="H14" s="423" t="s">
        <v>592</v>
      </c>
      <c r="I14" s="631" t="str">
        <f>IF(AND($C$10+$C$11+$C$12+$C$13+$C$9=0,$C$14=1,C15=1),"ДА","НЕТ")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436" t="s">
        <v>589</v>
      </c>
      <c r="C15" s="555">
        <v>1</v>
      </c>
      <c r="D15" s="440" t="s">
        <v>619</v>
      </c>
      <c r="E15" s="441" t="s">
        <v>620</v>
      </c>
      <c r="F15" s="443" t="s">
        <v>621</v>
      </c>
      <c r="G15" s="412"/>
      <c r="H15" s="420" t="s">
        <v>388</v>
      </c>
      <c r="I15" s="631" t="str">
        <f>IF(AND($C$9+$C$10+$C$11+C14=0,$C$12+$C$13=1,C15=2),"ДА","НЕТ")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447" t="s">
        <v>531</v>
      </c>
      <c r="C16" s="473">
        <v>0</v>
      </c>
      <c r="D16" s="431" t="s">
        <v>287</v>
      </c>
      <c r="E16" s="432" t="s">
        <v>255</v>
      </c>
      <c r="F16" s="570" t="s">
        <v>669</v>
      </c>
      <c r="G16" s="412"/>
      <c r="H16" s="423" t="s">
        <v>389</v>
      </c>
      <c r="I16" s="631" t="str">
        <f>IF(AND($C$9+$C$10+$C$11+C14=0,$C$12+$C$13=1,C15=2),"ДА","НЕТ")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414" t="s">
        <v>361</v>
      </c>
      <c r="C17" s="471">
        <v>0</v>
      </c>
      <c r="D17" s="427" t="s">
        <v>287</v>
      </c>
      <c r="E17" s="428" t="s">
        <v>255</v>
      </c>
      <c r="F17" s="1174" t="s">
        <v>597</v>
      </c>
      <c r="G17" s="412"/>
      <c r="H17" s="423" t="s">
        <v>390</v>
      </c>
      <c r="I17" s="631" t="str">
        <f>IF(AND($C$9+$C$10+$C$11+C14=0,$C$12+$C$13=1,C15=2),"ДА","НЕТ")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426" t="s">
        <v>466</v>
      </c>
      <c r="C18" s="469">
        <v>0</v>
      </c>
      <c r="D18" s="431" t="s">
        <v>287</v>
      </c>
      <c r="E18" s="432" t="s">
        <v>255</v>
      </c>
      <c r="F18" s="1175"/>
      <c r="G18" s="412"/>
      <c r="H18" s="420" t="s">
        <v>593</v>
      </c>
      <c r="I18" s="630" t="str">
        <f>IF(AND($C$10+$C$11+$C$12+$C$13+$C$9=0,$C$14=1,C15=2),"ДА","НЕТ")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424" t="s">
        <v>362</v>
      </c>
      <c r="C19" s="468">
        <v>0</v>
      </c>
      <c r="D19" s="431" t="s">
        <v>287</v>
      </c>
      <c r="E19" s="432" t="s">
        <v>255</v>
      </c>
      <c r="F19" s="1175"/>
      <c r="G19" s="412"/>
      <c r="H19" s="444" t="s">
        <v>594</v>
      </c>
      <c r="I19" s="641" t="str">
        <f>IF(AND($C$10+$C$11+$C$12+$C$13+$C$9=0,$C$14=1,C15=2),"ДА","НЕТ")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419" t="s">
        <v>467</v>
      </c>
      <c r="C20" s="470">
        <v>1</v>
      </c>
      <c r="D20" s="434" t="s">
        <v>287</v>
      </c>
      <c r="E20" s="435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447" t="s">
        <v>532</v>
      </c>
      <c r="C21" s="473">
        <v>0</v>
      </c>
      <c r="D21" s="434" t="s">
        <v>287</v>
      </c>
      <c r="E21" s="435" t="s">
        <v>255</v>
      </c>
      <c r="F21" s="564"/>
      <c r="G21" s="412"/>
      <c r="H21" s="412"/>
      <c r="I21" s="412"/>
      <c r="J21" s="412"/>
      <c r="K21" s="412"/>
      <c r="L21" s="412"/>
    </row>
    <row r="22" spans="1:12" ht="12" customHeight="1">
      <c r="A22" s="412"/>
      <c r="B22" s="736" t="s">
        <v>147</v>
      </c>
      <c r="C22" s="471">
        <v>1</v>
      </c>
      <c r="D22" s="1178" t="s">
        <v>686</v>
      </c>
      <c r="E22" s="1178"/>
      <c r="F22" s="1179"/>
      <c r="G22" s="412"/>
      <c r="H22" s="412"/>
      <c r="I22" s="412"/>
      <c r="J22" s="412"/>
      <c r="K22" s="412"/>
      <c r="L22" s="412"/>
    </row>
    <row r="23" spans="1:12" ht="12" customHeight="1" thickBot="1">
      <c r="A23" s="412"/>
      <c r="B23" s="737" t="s">
        <v>146</v>
      </c>
      <c r="C23" s="470">
        <v>0</v>
      </c>
      <c r="D23" s="1184" t="s">
        <v>687</v>
      </c>
      <c r="E23" s="1184"/>
      <c r="F23" s="1185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446"/>
      <c r="C24" s="446"/>
      <c r="D24" s="446"/>
      <c r="E24" s="446"/>
      <c r="F24" s="446"/>
      <c r="G24" s="412"/>
      <c r="H24" s="412"/>
      <c r="I24" s="412"/>
      <c r="J24" s="412"/>
      <c r="K24" s="412"/>
      <c r="L24" s="412"/>
    </row>
    <row r="25" spans="1:12" ht="12" customHeight="1">
      <c r="A25" s="412"/>
      <c r="B25" s="451" t="s">
        <v>5</v>
      </c>
      <c r="C25" s="452" t="s">
        <v>0</v>
      </c>
      <c r="D25" s="638" t="s">
        <v>4</v>
      </c>
      <c r="E25" s="454" t="s">
        <v>8</v>
      </c>
      <c r="F25" s="446"/>
      <c r="G25" s="412"/>
      <c r="H25" s="412"/>
      <c r="I25" s="412"/>
      <c r="J25" s="412"/>
      <c r="K25" s="412"/>
      <c r="L25" s="412"/>
    </row>
    <row r="26" spans="1:12" ht="12" customHeight="1">
      <c r="A26" s="412"/>
      <c r="B26" s="456" t="s">
        <v>563</v>
      </c>
      <c r="C26" s="349">
        <f>IF(AND(C16=0,C7=0),C20*(C4+C5+C6),0)</f>
        <v>1</v>
      </c>
      <c r="D26" s="558">
        <v>1</v>
      </c>
      <c r="E26" s="559">
        <f t="shared" ref="E26:E37" si="1">D26*C26</f>
        <v>1</v>
      </c>
      <c r="F26" s="446"/>
      <c r="G26" s="412"/>
      <c r="H26" s="412"/>
      <c r="I26" s="412"/>
      <c r="J26" s="412"/>
      <c r="K26" s="412"/>
      <c r="L26" s="412"/>
    </row>
    <row r="27" spans="1:12" ht="12" customHeight="1">
      <c r="A27" s="412"/>
      <c r="B27" s="456" t="s">
        <v>564</v>
      </c>
      <c r="C27" s="349">
        <f>(C4+C5+C6)*C18</f>
        <v>0</v>
      </c>
      <c r="D27" s="558"/>
      <c r="E27" s="559">
        <f>C27*D27</f>
        <v>0</v>
      </c>
      <c r="F27" s="446"/>
      <c r="G27" s="412"/>
      <c r="H27" s="412"/>
      <c r="I27" s="412"/>
      <c r="J27" s="412"/>
      <c r="K27" s="412"/>
      <c r="L27" s="412"/>
    </row>
    <row r="28" spans="1:12" ht="12" customHeight="1">
      <c r="A28" s="412"/>
      <c r="B28" s="456" t="s">
        <v>653</v>
      </c>
      <c r="C28" s="349">
        <f>IF(AND(C16=1,C7=0),C16*(C4+C5+C6),0)</f>
        <v>0</v>
      </c>
      <c r="D28" s="558"/>
      <c r="E28" s="559">
        <f>D28*C28</f>
        <v>0</v>
      </c>
      <c r="F28" s="446"/>
      <c r="G28" s="412"/>
      <c r="H28" s="412"/>
      <c r="I28" s="412"/>
      <c r="J28" s="412"/>
      <c r="K28" s="412"/>
      <c r="L28" s="412"/>
    </row>
    <row r="29" spans="1:12" ht="12" customHeight="1">
      <c r="A29" s="412"/>
      <c r="B29" s="456" t="s">
        <v>654</v>
      </c>
      <c r="C29" s="349">
        <f>IF(AND(C7=1,C16=0),C20*(C4+C5+C6)*C7,0)</f>
        <v>0</v>
      </c>
      <c r="D29" s="558"/>
      <c r="E29" s="559">
        <f t="shared" si="1"/>
        <v>0</v>
      </c>
      <c r="F29" s="446"/>
      <c r="G29" s="412"/>
      <c r="H29" s="412"/>
      <c r="I29" s="412"/>
      <c r="J29" s="412"/>
      <c r="K29" s="412"/>
      <c r="L29" s="412"/>
    </row>
    <row r="30" spans="1:12" ht="12" customHeight="1">
      <c r="A30" s="412"/>
      <c r="B30" s="456" t="s">
        <v>117</v>
      </c>
      <c r="C30" s="349">
        <f>(C17+C19)*2*(C4+C5+C6)</f>
        <v>0</v>
      </c>
      <c r="D30" s="558"/>
      <c r="E30" s="559">
        <f t="shared" si="1"/>
        <v>0</v>
      </c>
      <c r="F30" s="446"/>
      <c r="G30" s="412"/>
      <c r="H30" s="412"/>
      <c r="I30" s="412"/>
      <c r="J30" s="412"/>
      <c r="K30" s="412"/>
      <c r="L30" s="412"/>
    </row>
    <row r="31" spans="1:12" ht="12" customHeight="1">
      <c r="A31" s="412"/>
      <c r="B31" s="458" t="s">
        <v>655</v>
      </c>
      <c r="C31" s="354">
        <f>EVEN(ROUNDDOWN(IF(C4+C5+C6&gt;0.9,(C4+C5+C6)*(C2/0.5)+1,0),0))</f>
        <v>10</v>
      </c>
      <c r="D31" s="558"/>
      <c r="E31" s="559">
        <f t="shared" si="1"/>
        <v>0</v>
      </c>
      <c r="F31" s="446"/>
      <c r="G31" s="412"/>
      <c r="H31" s="412"/>
      <c r="I31" s="412"/>
      <c r="J31" s="412"/>
      <c r="K31" s="412"/>
      <c r="L31" s="412"/>
    </row>
    <row r="32" spans="1:12" ht="12" customHeight="1">
      <c r="A32" s="412"/>
      <c r="B32" s="458" t="s">
        <v>420</v>
      </c>
      <c r="C32" s="354">
        <f>IF(AND(C9+C10+C11&gt;0,C12+C13+C14=0),(C4+C5+C6)*2,0)</f>
        <v>2</v>
      </c>
      <c r="D32" s="558"/>
      <c r="E32" s="559">
        <f t="shared" si="1"/>
        <v>0</v>
      </c>
      <c r="F32" s="446"/>
      <c r="G32" s="412"/>
      <c r="H32" s="412"/>
      <c r="I32" s="412"/>
      <c r="J32" s="412"/>
      <c r="K32" s="412"/>
      <c r="L32" s="412"/>
    </row>
    <row r="33" spans="1:12" ht="12" customHeight="1">
      <c r="A33" s="412"/>
      <c r="B33" s="458" t="s">
        <v>420</v>
      </c>
      <c r="C33" s="354">
        <f>IF(AND(C9+C10+C11=0,C12+C13+C14&gt;0),(C4+C5+C6),0)</f>
        <v>0</v>
      </c>
      <c r="D33" s="558"/>
      <c r="E33" s="559">
        <f>D33*C33</f>
        <v>0</v>
      </c>
      <c r="F33" s="446"/>
      <c r="G33" s="412"/>
      <c r="H33" s="412"/>
      <c r="I33" s="412"/>
      <c r="J33" s="412"/>
      <c r="K33" s="412"/>
      <c r="L33" s="412"/>
    </row>
    <row r="34" spans="1:12" ht="12" customHeight="1">
      <c r="A34" s="412"/>
      <c r="B34" s="458" t="s">
        <v>511</v>
      </c>
      <c r="C34" s="354">
        <f>IF(AND(C9+C10+C11=0,C12+C13+C14&gt;0),(C4+C5),0)</f>
        <v>0</v>
      </c>
      <c r="D34" s="558"/>
      <c r="E34" s="559">
        <f t="shared" si="1"/>
        <v>0</v>
      </c>
      <c r="F34" s="446"/>
      <c r="G34" s="412"/>
      <c r="H34" s="412"/>
      <c r="I34" s="412"/>
      <c r="J34" s="412"/>
      <c r="K34" s="412"/>
      <c r="L34" s="412"/>
    </row>
    <row r="35" spans="1:12" ht="12" customHeight="1">
      <c r="A35" s="412"/>
      <c r="B35" s="456" t="s">
        <v>656</v>
      </c>
      <c r="C35" s="349">
        <f>C4+C5+C6</f>
        <v>1</v>
      </c>
      <c r="D35" s="558"/>
      <c r="E35" s="559">
        <f t="shared" si="1"/>
        <v>0</v>
      </c>
      <c r="F35" s="446"/>
      <c r="G35" s="412"/>
      <c r="H35" s="412"/>
      <c r="I35" s="412"/>
      <c r="J35" s="412"/>
      <c r="K35" s="412"/>
      <c r="L35" s="412"/>
    </row>
    <row r="36" spans="1:12" ht="12" customHeight="1">
      <c r="A36" s="412"/>
      <c r="B36" s="456" t="s">
        <v>657</v>
      </c>
      <c r="C36" s="357">
        <f>C4+C5+C6</f>
        <v>1</v>
      </c>
      <c r="D36" s="558"/>
      <c r="E36" s="559">
        <f t="shared" si="1"/>
        <v>0</v>
      </c>
      <c r="F36" s="446"/>
      <c r="G36" s="412"/>
      <c r="H36" s="412"/>
      <c r="I36" s="412"/>
      <c r="J36" s="412"/>
      <c r="K36" s="412"/>
      <c r="L36" s="412"/>
    </row>
    <row r="37" spans="1:12" ht="12" customHeight="1">
      <c r="A37" s="412"/>
      <c r="B37" s="456" t="s">
        <v>658</v>
      </c>
      <c r="C37" s="349">
        <f>(C4+C5+C6)*2</f>
        <v>2</v>
      </c>
      <c r="D37" s="558"/>
      <c r="E37" s="559">
        <f t="shared" si="1"/>
        <v>0</v>
      </c>
      <c r="F37" s="446"/>
      <c r="G37" s="412"/>
      <c r="H37" s="412"/>
      <c r="I37" s="412"/>
      <c r="J37" s="412"/>
      <c r="K37" s="412"/>
      <c r="L37" s="412"/>
    </row>
    <row r="38" spans="1:12" ht="12" customHeight="1">
      <c r="A38" s="412"/>
      <c r="B38" s="458" t="s">
        <v>646</v>
      </c>
      <c r="C38" s="349">
        <f>C21*(C4+C5+C6)</f>
        <v>0</v>
      </c>
      <c r="D38" s="558"/>
      <c r="E38" s="559">
        <f>D38*C38</f>
        <v>0</v>
      </c>
      <c r="F38" s="446"/>
      <c r="G38" s="412"/>
      <c r="H38" s="412"/>
      <c r="I38" s="412"/>
      <c r="J38" s="412"/>
      <c r="K38" s="412"/>
      <c r="L38" s="412"/>
    </row>
    <row r="39" spans="1:12" ht="12" customHeight="1">
      <c r="A39" s="412"/>
      <c r="B39" s="458" t="s">
        <v>445</v>
      </c>
      <c r="C39" s="349">
        <f>C4</f>
        <v>0</v>
      </c>
      <c r="D39" s="558"/>
      <c r="E39" s="559">
        <f>C39*D39</f>
        <v>0</v>
      </c>
      <c r="F39" s="446"/>
      <c r="G39" s="412"/>
      <c r="H39" s="412"/>
      <c r="I39" s="412"/>
      <c r="J39" s="412"/>
      <c r="K39" s="412"/>
      <c r="L39" s="412"/>
    </row>
    <row r="40" spans="1:12" ht="12" customHeight="1">
      <c r="A40" s="412"/>
      <c r="B40" s="458" t="s">
        <v>446</v>
      </c>
      <c r="C40" s="349">
        <f>C4*2</f>
        <v>0</v>
      </c>
      <c r="D40" s="558"/>
      <c r="E40" s="559">
        <f>C40*D40</f>
        <v>0</v>
      </c>
      <c r="F40" s="446"/>
      <c r="G40" s="412"/>
      <c r="H40" s="412"/>
      <c r="I40" s="412"/>
      <c r="J40" s="412"/>
      <c r="K40" s="412"/>
      <c r="L40" s="412"/>
    </row>
    <row r="41" spans="1:12" ht="12" customHeight="1">
      <c r="A41" s="412"/>
      <c r="B41" s="458" t="s">
        <v>652</v>
      </c>
      <c r="C41" s="349">
        <f>C6*2</f>
        <v>2</v>
      </c>
      <c r="D41" s="558"/>
      <c r="E41" s="559">
        <f>C41*D41</f>
        <v>0</v>
      </c>
      <c r="F41" s="446"/>
      <c r="G41" s="412"/>
      <c r="H41" s="412"/>
      <c r="I41" s="412"/>
      <c r="J41" s="412"/>
      <c r="K41" s="412"/>
      <c r="L41" s="412"/>
    </row>
    <row r="42" spans="1:12" ht="12" customHeight="1">
      <c r="A42" s="412"/>
      <c r="B42" s="458" t="s">
        <v>434</v>
      </c>
      <c r="C42" s="349">
        <f>C5+C6</f>
        <v>1</v>
      </c>
      <c r="D42" s="558"/>
      <c r="E42" s="559">
        <f>C42*D42</f>
        <v>0</v>
      </c>
      <c r="F42" s="446"/>
      <c r="G42" s="412"/>
      <c r="H42" s="412"/>
      <c r="I42" s="412"/>
      <c r="J42" s="412"/>
      <c r="K42" s="412"/>
      <c r="L42" s="412"/>
    </row>
    <row r="43" spans="1:12" ht="12" customHeight="1">
      <c r="A43" s="412"/>
      <c r="B43" s="456" t="s">
        <v>474</v>
      </c>
      <c r="C43" s="349">
        <f>(C4+C5+C6)*C2</f>
        <v>4</v>
      </c>
      <c r="D43" s="558"/>
      <c r="E43" s="559">
        <f>D43*C43</f>
        <v>0</v>
      </c>
      <c r="F43" s="446"/>
      <c r="G43" s="412"/>
      <c r="H43" s="412"/>
      <c r="I43" s="412"/>
      <c r="J43" s="412"/>
      <c r="K43" s="412"/>
      <c r="L43" s="412"/>
    </row>
    <row r="44" spans="1:12" ht="12" customHeight="1">
      <c r="A44" s="412"/>
      <c r="B44" s="456" t="s">
        <v>474</v>
      </c>
      <c r="C44" s="349">
        <f>C20*C2*(C4+C5+C6)</f>
        <v>4</v>
      </c>
      <c r="D44" s="558"/>
      <c r="E44" s="559">
        <f>D44*C44</f>
        <v>0</v>
      </c>
      <c r="F44" s="446"/>
      <c r="G44" s="412"/>
      <c r="H44" s="412"/>
      <c r="I44" s="412"/>
      <c r="J44" s="412"/>
      <c r="K44" s="412"/>
      <c r="L44" s="412"/>
    </row>
    <row r="45" spans="1:12" ht="12" customHeight="1">
      <c r="A45" s="412"/>
      <c r="B45" s="458" t="s">
        <v>363</v>
      </c>
      <c r="C45" s="354">
        <f>C19*2*C2*(C4+C5+C6)</f>
        <v>0</v>
      </c>
      <c r="D45" s="558"/>
      <c r="E45" s="559">
        <f>D45*C45</f>
        <v>0</v>
      </c>
      <c r="F45" s="446"/>
      <c r="G45" s="412"/>
      <c r="H45" s="412"/>
      <c r="I45" s="412"/>
      <c r="J45" s="412"/>
      <c r="K45" s="412"/>
      <c r="L45" s="412"/>
    </row>
    <row r="46" spans="1:12" ht="12" customHeight="1">
      <c r="A46" s="412"/>
      <c r="B46" s="458" t="s">
        <v>477</v>
      </c>
      <c r="C46" s="354">
        <f>(C17+C18)*C2*(C4+C5+C6)</f>
        <v>0</v>
      </c>
      <c r="D46" s="560"/>
      <c r="E46" s="559">
        <f>C46*D46</f>
        <v>0</v>
      </c>
      <c r="F46" s="446"/>
      <c r="G46" s="412"/>
      <c r="H46" s="412"/>
      <c r="I46" s="412"/>
      <c r="J46" s="412"/>
      <c r="K46" s="412"/>
      <c r="L46" s="412"/>
    </row>
    <row r="47" spans="1:12" ht="12" customHeight="1">
      <c r="A47" s="412"/>
      <c r="B47" s="458" t="s">
        <v>473</v>
      </c>
      <c r="C47" s="354">
        <f>C20*C2*(C4+C5+C6)</f>
        <v>4</v>
      </c>
      <c r="D47" s="558"/>
      <c r="E47" s="559">
        <f>D47*C47</f>
        <v>0</v>
      </c>
      <c r="F47" s="446"/>
      <c r="G47" s="412"/>
      <c r="H47" s="412"/>
      <c r="I47" s="412"/>
      <c r="J47" s="412"/>
      <c r="K47" s="412"/>
      <c r="L47" s="412"/>
    </row>
    <row r="48" spans="1:12" ht="12" customHeight="1">
      <c r="A48" s="412"/>
      <c r="B48" s="458" t="s">
        <v>537</v>
      </c>
      <c r="C48" s="354">
        <f>C18*C2*(C4+C5+C6)</f>
        <v>0</v>
      </c>
      <c r="D48" s="558"/>
      <c r="E48" s="559">
        <f>D48*C48</f>
        <v>0</v>
      </c>
      <c r="F48" s="446"/>
      <c r="G48" s="412"/>
      <c r="H48" s="412"/>
      <c r="I48" s="412"/>
      <c r="J48" s="412"/>
      <c r="K48" s="412"/>
      <c r="L48" s="412"/>
    </row>
    <row r="49" spans="1:12" ht="12" customHeight="1">
      <c r="A49" s="412"/>
      <c r="B49" s="458" t="s">
        <v>364</v>
      </c>
      <c r="C49" s="354">
        <f>C17*C2*(C4+C5*C6)</f>
        <v>0</v>
      </c>
      <c r="D49" s="558"/>
      <c r="E49" s="559">
        <f t="shared" ref="E49:E83" si="2">C49*D49</f>
        <v>0</v>
      </c>
      <c r="F49" s="446"/>
      <c r="G49" s="412"/>
      <c r="H49" s="412"/>
      <c r="I49" s="412"/>
      <c r="J49" s="412"/>
      <c r="K49" s="412"/>
      <c r="L49" s="412"/>
    </row>
    <row r="50" spans="1:12" ht="12" customHeight="1">
      <c r="A50" s="412"/>
      <c r="B50" s="458" t="s">
        <v>365</v>
      </c>
      <c r="C50" s="354">
        <f>C19*C2*(C4+C5+C6)</f>
        <v>0</v>
      </c>
      <c r="D50" s="558"/>
      <c r="E50" s="559">
        <f t="shared" si="2"/>
        <v>0</v>
      </c>
      <c r="F50" s="446"/>
      <c r="G50" s="412"/>
      <c r="H50" s="412"/>
      <c r="I50" s="412"/>
      <c r="J50" s="412"/>
      <c r="K50" s="412"/>
      <c r="L50" s="412"/>
    </row>
    <row r="51" spans="1:12" ht="12" customHeight="1">
      <c r="A51" s="412"/>
      <c r="B51" s="456" t="s">
        <v>461</v>
      </c>
      <c r="C51" s="349">
        <f>C2*C4</f>
        <v>0</v>
      </c>
      <c r="D51" s="558"/>
      <c r="E51" s="559">
        <f t="shared" si="2"/>
        <v>0</v>
      </c>
      <c r="F51" s="446"/>
      <c r="G51" s="412"/>
      <c r="H51" s="412"/>
      <c r="I51" s="412"/>
      <c r="J51" s="412"/>
      <c r="K51" s="412"/>
      <c r="L51" s="412"/>
    </row>
    <row r="52" spans="1:12" ht="12" customHeight="1">
      <c r="A52" s="412"/>
      <c r="B52" s="456" t="s">
        <v>462</v>
      </c>
      <c r="C52" s="349">
        <f>C2*C5</f>
        <v>0</v>
      </c>
      <c r="D52" s="558"/>
      <c r="E52" s="559">
        <f t="shared" si="2"/>
        <v>0</v>
      </c>
      <c r="F52" s="446"/>
      <c r="G52" s="412"/>
      <c r="H52" s="612"/>
      <c r="I52" s="412"/>
      <c r="J52" s="412"/>
      <c r="K52" s="412"/>
      <c r="L52" s="412"/>
    </row>
    <row r="53" spans="1:12" ht="12" customHeight="1">
      <c r="A53" s="412"/>
      <c r="B53" s="456" t="s">
        <v>601</v>
      </c>
      <c r="C53" s="349">
        <f>C2*C6</f>
        <v>4</v>
      </c>
      <c r="D53" s="558"/>
      <c r="E53" s="559">
        <f>C53*D53</f>
        <v>0</v>
      </c>
      <c r="F53" s="446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42" t="s">
        <v>640</v>
      </c>
      <c r="C54" s="349">
        <f>IF(AND(C7=1,C8=1),(C4+C5+C6)*C2,0)</f>
        <v>0</v>
      </c>
      <c r="D54" s="558"/>
      <c r="E54" s="559">
        <f t="shared" si="2"/>
        <v>0</v>
      </c>
      <c r="F54" s="446"/>
      <c r="G54" s="412"/>
      <c r="H54" s="412"/>
      <c r="I54" s="412"/>
      <c r="J54" s="412"/>
      <c r="K54" s="412"/>
      <c r="L54" s="412"/>
    </row>
    <row r="55" spans="1:12" ht="12" customHeight="1">
      <c r="A55" s="412"/>
      <c r="B55" s="456" t="s">
        <v>442</v>
      </c>
      <c r="C55" s="349">
        <f>(C4+C5+C6)*2</f>
        <v>2</v>
      </c>
      <c r="D55" s="558"/>
      <c r="E55" s="559">
        <f t="shared" si="2"/>
        <v>0</v>
      </c>
      <c r="F55" s="446"/>
      <c r="G55" s="412"/>
      <c r="H55" s="412"/>
      <c r="I55" s="412"/>
      <c r="J55" s="412"/>
      <c r="K55" s="412"/>
      <c r="L55" s="412"/>
    </row>
    <row r="56" spans="1:12" ht="12" customHeight="1">
      <c r="A56" s="412"/>
      <c r="B56" s="458" t="s">
        <v>659</v>
      </c>
      <c r="C56" s="354">
        <f>IF(C7=1,(C4+C5+C6)*2*C3,0)</f>
        <v>0</v>
      </c>
      <c r="D56" s="558"/>
      <c r="E56" s="559">
        <f t="shared" si="2"/>
        <v>0</v>
      </c>
      <c r="F56" s="446"/>
      <c r="G56" s="412"/>
      <c r="H56" s="412"/>
      <c r="I56" s="412"/>
      <c r="J56" s="412"/>
      <c r="K56" s="412"/>
      <c r="L56" s="412"/>
    </row>
    <row r="57" spans="1:12" ht="12" customHeight="1">
      <c r="A57" s="412"/>
      <c r="B57" s="458" t="s">
        <v>660</v>
      </c>
      <c r="C57" s="354">
        <f>IF(C7=1,(C4+C5+C6)*2*C3,0)</f>
        <v>0</v>
      </c>
      <c r="D57" s="558"/>
      <c r="E57" s="559">
        <f t="shared" si="2"/>
        <v>0</v>
      </c>
      <c r="F57" s="446"/>
      <c r="G57" s="412"/>
      <c r="H57" s="412"/>
      <c r="I57" s="412"/>
      <c r="J57" s="412"/>
      <c r="K57" s="412"/>
      <c r="L57" s="412"/>
    </row>
    <row r="58" spans="1:12" ht="12" customHeight="1">
      <c r="A58" s="412"/>
      <c r="B58" s="456" t="s">
        <v>661</v>
      </c>
      <c r="C58" s="349">
        <f>(C4+C5+C6)*C2</f>
        <v>4</v>
      </c>
      <c r="D58" s="558"/>
      <c r="E58" s="559">
        <f t="shared" si="2"/>
        <v>0</v>
      </c>
      <c r="F58" s="446"/>
      <c r="G58" s="412"/>
      <c r="H58" s="412"/>
      <c r="I58" s="412"/>
      <c r="J58" s="412"/>
      <c r="K58" s="412"/>
      <c r="L58" s="412"/>
    </row>
    <row r="59" spans="1:12" ht="12" customHeight="1">
      <c r="A59" s="412"/>
      <c r="B59" s="456" t="s">
        <v>662</v>
      </c>
      <c r="C59" s="349">
        <f>(C4+C5+C6)*C2</f>
        <v>4</v>
      </c>
      <c r="D59" s="558"/>
      <c r="E59" s="559">
        <f t="shared" si="2"/>
        <v>0</v>
      </c>
      <c r="F59" s="446"/>
      <c r="G59" s="412"/>
      <c r="H59" s="412"/>
      <c r="I59" s="412"/>
      <c r="J59" s="412"/>
      <c r="K59" s="412"/>
      <c r="L59" s="412"/>
    </row>
    <row r="60" spans="1:12" ht="12" customHeight="1">
      <c r="A60" s="412"/>
      <c r="B60" s="458" t="s">
        <v>647</v>
      </c>
      <c r="C60" s="354">
        <f>IF(C21=0,C4+C5+C6,0)</f>
        <v>1</v>
      </c>
      <c r="D60" s="558"/>
      <c r="E60" s="559">
        <f t="shared" si="2"/>
        <v>0</v>
      </c>
      <c r="F60" s="446"/>
      <c r="G60" s="412"/>
      <c r="H60" s="412"/>
      <c r="I60" s="412"/>
      <c r="J60" s="412"/>
      <c r="K60" s="412"/>
      <c r="L60" s="412"/>
    </row>
    <row r="61" spans="1:12" ht="12" customHeight="1">
      <c r="A61" s="412"/>
      <c r="B61" s="458" t="s">
        <v>726</v>
      </c>
      <c r="C61" s="354">
        <f>IF(C16=1,(C4+C5+C6)*2,0)</f>
        <v>0</v>
      </c>
      <c r="D61" s="558"/>
      <c r="E61" s="559">
        <f t="shared" si="2"/>
        <v>0</v>
      </c>
      <c r="F61" s="446"/>
      <c r="G61" s="412"/>
      <c r="H61" s="412"/>
      <c r="I61" s="412"/>
      <c r="J61" s="412"/>
      <c r="K61" s="412"/>
      <c r="L61" s="412"/>
    </row>
    <row r="62" spans="1:12" ht="12" customHeight="1">
      <c r="A62" s="412"/>
      <c r="B62" s="458" t="s">
        <v>726</v>
      </c>
      <c r="C62" s="354">
        <f>(C4+C5+C6)*4</f>
        <v>4</v>
      </c>
      <c r="D62" s="558"/>
      <c r="E62" s="559">
        <f t="shared" si="2"/>
        <v>0</v>
      </c>
      <c r="F62" s="446"/>
      <c r="G62" s="412"/>
      <c r="H62" s="412"/>
      <c r="I62" s="412"/>
      <c r="J62" s="412"/>
      <c r="K62" s="412"/>
      <c r="L62" s="412"/>
    </row>
    <row r="63" spans="1:12" ht="12" customHeight="1">
      <c r="A63" s="412"/>
      <c r="B63" s="532" t="s">
        <v>538</v>
      </c>
      <c r="C63" s="354">
        <f>IF(C7=1,(C4+C5+C6)*2,0)</f>
        <v>0</v>
      </c>
      <c r="D63" s="558"/>
      <c r="E63" s="559">
        <f t="shared" si="2"/>
        <v>0</v>
      </c>
      <c r="F63" s="446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42" t="s">
        <v>663</v>
      </c>
      <c r="C64" s="406">
        <f>IF(AND(C8=0,C7=1),(C4+C5+C6)*2,0)</f>
        <v>0</v>
      </c>
      <c r="D64" s="561"/>
      <c r="E64" s="559">
        <f t="shared" si="2"/>
        <v>0</v>
      </c>
      <c r="F64" s="446"/>
      <c r="G64" s="412"/>
      <c r="H64" s="412"/>
      <c r="I64" s="412"/>
      <c r="J64" s="412"/>
      <c r="K64" s="412"/>
      <c r="L64" s="412"/>
    </row>
    <row r="65" spans="1:12" ht="12" customHeight="1">
      <c r="A65" s="412"/>
      <c r="B65" s="642" t="s">
        <v>664</v>
      </c>
      <c r="C65" s="406">
        <f>C7*2*(C4+C5+C6)</f>
        <v>0</v>
      </c>
      <c r="D65" s="561"/>
      <c r="E65" s="559">
        <f t="shared" si="2"/>
        <v>0</v>
      </c>
      <c r="F65" s="446"/>
      <c r="G65" s="412"/>
      <c r="H65" s="412"/>
      <c r="I65" s="412"/>
      <c r="J65" s="412"/>
      <c r="K65" s="412"/>
      <c r="L65" s="412"/>
    </row>
    <row r="66" spans="1:12" ht="12" customHeight="1">
      <c r="A66" s="412"/>
      <c r="B66" s="642" t="s">
        <v>665</v>
      </c>
      <c r="C66" s="406">
        <f>IF(AND(C7=1,C8=1),(C4+C5+C6)*2,0)</f>
        <v>0</v>
      </c>
      <c r="D66" s="561"/>
      <c r="E66" s="559">
        <f t="shared" si="2"/>
        <v>0</v>
      </c>
      <c r="F66" s="446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42" t="s">
        <v>465</v>
      </c>
      <c r="C67" s="406">
        <f>C7*2*(C4+C5+C6)</f>
        <v>0</v>
      </c>
      <c r="D67" s="561"/>
      <c r="E67" s="559">
        <f t="shared" si="2"/>
        <v>0</v>
      </c>
      <c r="F67" s="446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42" t="s">
        <v>483</v>
      </c>
      <c r="C68" s="406">
        <f>C2*(C4+C5+C6)</f>
        <v>4</v>
      </c>
      <c r="D68" s="561"/>
      <c r="E68" s="559">
        <f t="shared" si="2"/>
        <v>0</v>
      </c>
      <c r="F68" s="446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42" t="s">
        <v>483</v>
      </c>
      <c r="C69" s="406">
        <f>IF(C8=1,C2*(C4+C5+C6),0)</f>
        <v>0</v>
      </c>
      <c r="D69" s="561"/>
      <c r="E69" s="559">
        <f t="shared" si="2"/>
        <v>0</v>
      </c>
      <c r="F69" s="446"/>
      <c r="G69" s="412"/>
      <c r="H69" s="412"/>
      <c r="I69" s="412"/>
      <c r="J69" s="412"/>
      <c r="K69" s="412"/>
      <c r="L69" s="412"/>
    </row>
    <row r="70" spans="1:12" ht="12" customHeight="1">
      <c r="A70" s="412"/>
      <c r="B70" s="642" t="s">
        <v>482</v>
      </c>
      <c r="C70" s="406">
        <f>IF(C7=1,C3*4*(C4+C5+C6),0)</f>
        <v>0</v>
      </c>
      <c r="D70" s="561"/>
      <c r="E70" s="559">
        <f t="shared" si="2"/>
        <v>0</v>
      </c>
      <c r="F70" s="446"/>
      <c r="G70" s="412"/>
      <c r="H70" s="412"/>
      <c r="I70" s="412"/>
      <c r="J70" s="412"/>
      <c r="K70" s="412"/>
      <c r="L70" s="412"/>
    </row>
    <row r="71" spans="1:12" ht="12" customHeight="1">
      <c r="A71" s="412"/>
      <c r="B71" s="459" t="s">
        <v>378</v>
      </c>
      <c r="C71" s="361">
        <f>C9*C4</f>
        <v>0</v>
      </c>
      <c r="D71" s="560"/>
      <c r="E71" s="559">
        <f t="shared" si="2"/>
        <v>0</v>
      </c>
      <c r="F71" s="446"/>
      <c r="G71" s="412"/>
      <c r="H71" s="412"/>
      <c r="I71" s="412"/>
      <c r="J71" s="412"/>
      <c r="K71" s="412"/>
      <c r="L71" s="412"/>
    </row>
    <row r="72" spans="1:12" ht="12" customHeight="1">
      <c r="A72" s="412"/>
      <c r="B72" s="459" t="s">
        <v>598</v>
      </c>
      <c r="C72" s="361">
        <f>C12*C4</f>
        <v>0</v>
      </c>
      <c r="D72" s="560"/>
      <c r="E72" s="559">
        <f t="shared" si="2"/>
        <v>0</v>
      </c>
      <c r="F72" s="446"/>
      <c r="G72" s="412"/>
      <c r="H72" s="412"/>
      <c r="I72" s="412"/>
      <c r="J72" s="412"/>
      <c r="K72" s="412"/>
      <c r="L72" s="412"/>
    </row>
    <row r="73" spans="1:12" ht="12" customHeight="1">
      <c r="A73" s="412"/>
      <c r="B73" s="459" t="s">
        <v>436</v>
      </c>
      <c r="C73" s="361">
        <f>C10*C5</f>
        <v>0</v>
      </c>
      <c r="D73" s="560"/>
      <c r="E73" s="559">
        <f t="shared" si="2"/>
        <v>0</v>
      </c>
      <c r="F73" s="446"/>
      <c r="G73" s="412"/>
      <c r="H73" s="412"/>
      <c r="I73" s="412"/>
      <c r="J73" s="412"/>
      <c r="K73" s="412"/>
      <c r="L73" s="412"/>
    </row>
    <row r="74" spans="1:12" ht="12" customHeight="1">
      <c r="A74" s="412"/>
      <c r="B74" s="459" t="s">
        <v>602</v>
      </c>
      <c r="C74" s="361">
        <f>C6*C11</f>
        <v>1</v>
      </c>
      <c r="D74" s="355"/>
      <c r="E74" s="351">
        <f t="shared" si="2"/>
        <v>0</v>
      </c>
      <c r="F74" s="446"/>
      <c r="G74" s="412"/>
      <c r="H74" s="412"/>
      <c r="I74" s="412"/>
      <c r="J74" s="412"/>
      <c r="K74" s="412"/>
      <c r="L74" s="412"/>
    </row>
    <row r="75" spans="1:12" ht="12" customHeight="1">
      <c r="A75" s="412"/>
      <c r="B75" s="459" t="s">
        <v>603</v>
      </c>
      <c r="C75" s="361">
        <f>C6*C14</f>
        <v>0</v>
      </c>
      <c r="D75" s="355"/>
      <c r="E75" s="351">
        <f t="shared" si="2"/>
        <v>0</v>
      </c>
      <c r="F75" s="446"/>
      <c r="G75" s="412"/>
      <c r="H75" s="412"/>
      <c r="I75" s="412"/>
      <c r="J75" s="412"/>
      <c r="K75" s="412"/>
      <c r="L75" s="412"/>
    </row>
    <row r="76" spans="1:12" ht="12" customHeight="1">
      <c r="A76" s="412"/>
      <c r="B76" s="459" t="s">
        <v>599</v>
      </c>
      <c r="C76" s="361">
        <f>C13*C5</f>
        <v>0</v>
      </c>
      <c r="D76" s="560"/>
      <c r="E76" s="559">
        <f t="shared" si="2"/>
        <v>0</v>
      </c>
      <c r="F76" s="446"/>
      <c r="G76" s="412"/>
      <c r="H76" s="412"/>
      <c r="I76" s="412"/>
      <c r="J76" s="412"/>
      <c r="K76" s="412"/>
      <c r="L76" s="412"/>
    </row>
    <row r="77" spans="1:12" ht="12" customHeight="1">
      <c r="A77" s="412"/>
      <c r="B77" s="458" t="s">
        <v>425</v>
      </c>
      <c r="C77" s="361">
        <f>IF(C16&gt;0,C16*C3*2*(C4+C5+C6)+0.3,0)</f>
        <v>0</v>
      </c>
      <c r="D77" s="560"/>
      <c r="E77" s="559">
        <f t="shared" si="2"/>
        <v>0</v>
      </c>
      <c r="F77" s="446"/>
      <c r="G77" s="412"/>
      <c r="H77" s="412"/>
      <c r="I77" s="412"/>
      <c r="J77" s="412"/>
      <c r="K77" s="412"/>
      <c r="L77" s="412"/>
    </row>
    <row r="78" spans="1:12" ht="12" customHeight="1">
      <c r="A78" s="412"/>
      <c r="B78" s="458" t="s">
        <v>426</v>
      </c>
      <c r="C78" s="361">
        <f>IF(C16=1,C16*2*(C4+C5+C6),0)</f>
        <v>0</v>
      </c>
      <c r="D78" s="560"/>
      <c r="E78" s="559">
        <f t="shared" si="2"/>
        <v>0</v>
      </c>
      <c r="F78" s="446"/>
      <c r="G78" s="412"/>
      <c r="H78" s="412"/>
      <c r="I78" s="412"/>
      <c r="J78" s="412"/>
      <c r="K78" s="412"/>
      <c r="L78" s="412"/>
    </row>
    <row r="79" spans="1:12" ht="12" customHeight="1">
      <c r="A79" s="412"/>
      <c r="B79" s="458" t="s">
        <v>427</v>
      </c>
      <c r="C79" s="361">
        <f>C16*2*(C4+C5+C6)</f>
        <v>0</v>
      </c>
      <c r="D79" s="560"/>
      <c r="E79" s="559">
        <f t="shared" si="2"/>
        <v>0</v>
      </c>
      <c r="F79" s="446"/>
      <c r="G79" s="412"/>
      <c r="H79" s="412"/>
      <c r="I79" s="412"/>
      <c r="J79" s="412"/>
      <c r="K79" s="412"/>
      <c r="L79" s="412"/>
    </row>
    <row r="80" spans="1:12" ht="12" customHeight="1">
      <c r="A80" s="412"/>
      <c r="B80" s="458" t="s">
        <v>428</v>
      </c>
      <c r="C80" s="361">
        <f>C16*2*(C4+C5+C6)</f>
        <v>0</v>
      </c>
      <c r="D80" s="560"/>
      <c r="E80" s="559">
        <f t="shared" si="2"/>
        <v>0</v>
      </c>
      <c r="F80" s="460"/>
      <c r="G80" s="412"/>
      <c r="H80" s="412"/>
      <c r="I80" s="412"/>
      <c r="J80" s="412"/>
      <c r="K80" s="412"/>
      <c r="L80" s="412"/>
    </row>
    <row r="81" spans="1:12" ht="12" customHeight="1">
      <c r="A81" s="412"/>
      <c r="B81" s="532" t="s">
        <v>145</v>
      </c>
      <c r="C81" s="513">
        <f>C23</f>
        <v>0</v>
      </c>
      <c r="D81" s="529"/>
      <c r="E81" s="407">
        <f t="shared" si="2"/>
        <v>0</v>
      </c>
      <c r="F81" s="460"/>
      <c r="G81" s="412"/>
      <c r="H81" s="412"/>
      <c r="I81" s="412"/>
      <c r="J81" s="412"/>
      <c r="K81" s="412"/>
      <c r="L81" s="412"/>
    </row>
    <row r="82" spans="1:12" ht="12" customHeight="1">
      <c r="A82" s="412"/>
      <c r="B82" s="458" t="s">
        <v>148</v>
      </c>
      <c r="C82" s="354">
        <f>C22</f>
        <v>1</v>
      </c>
      <c r="D82" s="360"/>
      <c r="E82" s="351">
        <f t="shared" si="2"/>
        <v>0</v>
      </c>
      <c r="F82" s="460"/>
      <c r="G82" s="412"/>
      <c r="H82" s="412"/>
      <c r="I82" s="412"/>
      <c r="J82" s="412"/>
      <c r="K82" s="412"/>
      <c r="L82" s="412"/>
    </row>
    <row r="83" spans="1:12" ht="12" customHeight="1" thickBot="1">
      <c r="A83" s="412"/>
      <c r="B83" s="533" t="s">
        <v>429</v>
      </c>
      <c r="C83" s="409">
        <f>C16*2*(C4+C5+C6)</f>
        <v>0</v>
      </c>
      <c r="D83" s="562"/>
      <c r="E83" s="563">
        <f t="shared" si="2"/>
        <v>0</v>
      </c>
      <c r="F83" s="446"/>
      <c r="G83" s="412"/>
      <c r="H83" s="412"/>
      <c r="I83" s="412"/>
      <c r="J83" s="412"/>
      <c r="K83" s="412"/>
      <c r="L83" s="412"/>
    </row>
    <row r="84" spans="1:12" ht="12" customHeight="1" thickBot="1">
      <c r="A84" s="412"/>
      <c r="B84" s="446"/>
      <c r="C84" s="446"/>
      <c r="D84" s="462" t="s">
        <v>9</v>
      </c>
      <c r="E84" s="534">
        <f>SUMIF(E26:E83,"&gt;0",E26:E83)</f>
        <v>1</v>
      </c>
      <c r="F84" s="446"/>
      <c r="G84" s="412"/>
      <c r="H84" s="412"/>
      <c r="I84" s="412"/>
      <c r="J84" s="412"/>
      <c r="K84" s="412"/>
      <c r="L84" s="412"/>
    </row>
    <row r="85" spans="1:12" ht="12" customHeight="1">
      <c r="A85" s="412"/>
      <c r="B85" s="446"/>
      <c r="C85" s="446"/>
      <c r="D85" s="446"/>
      <c r="E85" s="446"/>
      <c r="F85" s="446"/>
      <c r="G85" s="412"/>
      <c r="H85" s="412"/>
      <c r="I85" s="412"/>
      <c r="J85" s="412"/>
      <c r="K85" s="412"/>
      <c r="L85" s="412"/>
    </row>
    <row r="86" spans="1:12" ht="12" customHeight="1">
      <c r="A86" s="412"/>
      <c r="B86" s="446"/>
      <c r="C86" s="446"/>
      <c r="D86" s="446"/>
      <c r="E86" s="446"/>
      <c r="F86" s="446"/>
      <c r="G86" s="412"/>
      <c r="H86" s="412"/>
      <c r="I86" s="412"/>
      <c r="J86" s="412"/>
      <c r="K86" s="412"/>
      <c r="L86" s="412"/>
    </row>
    <row r="87" spans="1:12" ht="12" customHeight="1">
      <c r="A87" s="412"/>
      <c r="B87" s="412"/>
      <c r="C87" s="412"/>
      <c r="D87" s="412"/>
      <c r="E87" s="412"/>
      <c r="F87" s="412"/>
      <c r="G87" s="412"/>
      <c r="H87" s="412"/>
      <c r="I87" s="412"/>
      <c r="J87" s="412"/>
      <c r="K87" s="412"/>
      <c r="L87" s="412"/>
    </row>
    <row r="88" spans="1:12" ht="12" customHeight="1">
      <c r="A88" s="412"/>
      <c r="B88" s="412"/>
      <c r="C88" s="412"/>
      <c r="D88" s="412"/>
      <c r="E88" s="412"/>
      <c r="F88" s="412"/>
      <c r="G88" s="412"/>
      <c r="H88" s="412"/>
      <c r="I88" s="412"/>
      <c r="J88" s="412"/>
      <c r="K88" s="412"/>
      <c r="L88" s="412"/>
    </row>
    <row r="89" spans="1:12" ht="12" customHeight="1">
      <c r="A89" s="412"/>
      <c r="B89" s="412"/>
      <c r="C89" s="412"/>
      <c r="D89" s="412"/>
      <c r="E89" s="412"/>
      <c r="F89" s="412"/>
      <c r="G89" s="412"/>
      <c r="H89" s="412"/>
      <c r="I89" s="412"/>
      <c r="J89" s="412"/>
      <c r="K89" s="412"/>
      <c r="L89" s="412"/>
    </row>
    <row r="90" spans="1:12" ht="12" customHeight="1">
      <c r="A90" s="412"/>
      <c r="B90" s="412"/>
      <c r="C90" s="412"/>
      <c r="D90" s="412"/>
      <c r="E90" s="412"/>
      <c r="F90" s="412"/>
      <c r="G90" s="412"/>
      <c r="H90" s="412"/>
      <c r="I90" s="412"/>
      <c r="J90" s="412"/>
      <c r="K90" s="412"/>
      <c r="L90" s="412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374" priority="66" operator="greaterThan">
      <formula>0</formula>
    </cfRule>
  </conditionalFormatting>
  <conditionalFormatting sqref="J3:J19">
    <cfRule type="cellIs" dxfId="373" priority="12" operator="greaterThan">
      <formula>0</formula>
    </cfRule>
    <cfRule type="cellIs" dxfId="372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371" priority="33" operator="equal">
      <formula>"ДА"</formula>
    </cfRule>
    <cfRule type="cellIs" dxfId="37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9" priority="30" operator="equal">
      <formula>"ДА"</formula>
    </cfRule>
    <cfRule type="cellIs" dxfId="368" priority="31" operator="equal">
      <formula>"НЕТ"</formula>
    </cfRule>
  </conditionalFormatting>
  <conditionalFormatting sqref="I5">
    <cfRule type="cellIs" dxfId="367" priority="27" operator="equal">
      <formula>"ДА"</formula>
    </cfRule>
    <cfRule type="cellIs" dxfId="36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65" priority="23" operator="equal">
      <formula>"ДА"</formula>
    </cfRule>
    <cfRule type="cellIs" dxfId="36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63" priority="19" operator="equal">
      <formula>"ДА"</formula>
    </cfRule>
    <cfRule type="cellIs" dxfId="36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361" priority="17" operator="equal">
      <formula>"ДА"</formula>
    </cfRule>
    <cfRule type="cellIs" dxfId="360" priority="18" operator="equal">
      <formula>"НЕТ"</formula>
    </cfRule>
  </conditionalFormatting>
  <conditionalFormatting sqref="I19">
    <cfRule type="cellIs" dxfId="359" priority="15" operator="equal">
      <formula>"ДА"</formula>
    </cfRule>
    <cfRule type="cellIs" dxfId="358" priority="16" operator="equal">
      <formula>"НЕТ"</formula>
    </cfRule>
  </conditionalFormatting>
  <conditionalFormatting sqref="K3:K19">
    <cfRule type="cellIs" dxfId="357" priority="14" operator="greaterThan">
      <formula>0</formula>
    </cfRule>
  </conditionalFormatting>
  <conditionalFormatting sqref="C74:E74">
    <cfRule type="cellIs" dxfId="356" priority="11" operator="greaterThan">
      <formula>0</formula>
    </cfRule>
  </conditionalFormatting>
  <conditionalFormatting sqref="C75:E75">
    <cfRule type="cellIs" dxfId="355" priority="10" operator="greaterThan">
      <formula>0</formula>
    </cfRule>
  </conditionalFormatting>
  <conditionalFormatting sqref="I15:I19">
    <cfRule type="cellIs" dxfId="354" priority="9" operator="equal">
      <formula>"НЕТ"</formula>
    </cfRule>
  </conditionalFormatting>
  <conditionalFormatting sqref="I3:I19">
    <cfRule type="cellIs" dxfId="353" priority="5" operator="equal">
      <formula>"НЕТ"</formula>
    </cfRule>
    <cfRule type="cellIs" dxfId="352" priority="8" operator="equal">
      <formula>"ДА"</formula>
    </cfRule>
  </conditionalFormatting>
  <conditionalFormatting sqref="C2:C21">
    <cfRule type="cellIs" dxfId="351" priority="7" operator="greaterThan">
      <formula>0</formula>
    </cfRule>
  </conditionalFormatting>
  <conditionalFormatting sqref="C26:E80 C83:E83">
    <cfRule type="cellIs" dxfId="350" priority="6" operator="greaterThan">
      <formula>0</formula>
    </cfRule>
  </conditionalFormatting>
  <conditionalFormatting sqref="I3:I18">
    <cfRule type="cellIs" dxfId="349" priority="4" operator="equal">
      <formula>"ДА"</formula>
    </cfRule>
  </conditionalFormatting>
  <conditionalFormatting sqref="E84">
    <cfRule type="cellIs" dxfId="348" priority="3" operator="greaterThan">
      <formula>0</formula>
    </cfRule>
  </conditionalFormatting>
  <conditionalFormatting sqref="C22:C23">
    <cfRule type="cellIs" dxfId="347" priority="2" operator="greaterThan">
      <formula>0</formula>
    </cfRule>
  </conditionalFormatting>
  <conditionalFormatting sqref="C81:E82">
    <cfRule type="cellIs" dxfId="34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</row>
    <row r="2" spans="1:11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417" t="s">
        <v>604</v>
      </c>
      <c r="J2" s="483" t="s">
        <v>4</v>
      </c>
      <c r="K2" s="484" t="s">
        <v>8</v>
      </c>
    </row>
    <row r="3" spans="1:11" ht="12.75" thickBot="1">
      <c r="A3" s="412"/>
      <c r="B3" s="419" t="s">
        <v>667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IF(I3="ДА",($C$10+$C$11)*J3,0)</f>
        <v>0</v>
      </c>
    </row>
    <row r="4" spans="1:11" ht="12.75" thickBot="1">
      <c r="A4" s="412"/>
      <c r="B4" s="436" t="s">
        <v>127</v>
      </c>
      <c r="C4" s="573">
        <v>0</v>
      </c>
      <c r="D4" s="1218" t="s">
        <v>128</v>
      </c>
      <c r="E4" s="1219"/>
      <c r="F4" s="1220"/>
      <c r="G4" s="412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IF(I4="ДА",($C$10+$C$11)*J4,0)</f>
        <v>0</v>
      </c>
    </row>
    <row r="5" spans="1:11" ht="12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4" t="s">
        <v>597</v>
      </c>
      <c r="G5" s="412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</row>
    <row r="6" spans="1:11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12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</row>
    <row r="7" spans="1:11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12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</row>
    <row r="8" spans="1:11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12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</row>
    <row r="9" spans="1:11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12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</row>
    <row r="10" spans="1:11" ht="12" customHeight="1">
      <c r="A10" s="412"/>
      <c r="B10" s="426" t="s">
        <v>670</v>
      </c>
      <c r="C10" s="574">
        <v>0</v>
      </c>
      <c r="D10" s="1208" t="s">
        <v>597</v>
      </c>
      <c r="E10" s="1209"/>
      <c r="F10" s="1210"/>
      <c r="G10" s="412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</row>
    <row r="11" spans="1:11" ht="12.75" thickBot="1">
      <c r="A11" s="412"/>
      <c r="B11" s="521" t="s">
        <v>671</v>
      </c>
      <c r="C11" s="575">
        <v>0</v>
      </c>
      <c r="D11" s="1211"/>
      <c r="E11" s="1212"/>
      <c r="F11" s="1213"/>
      <c r="G11" s="412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</row>
    <row r="12" spans="1:11" ht="12.75" thickBot="1">
      <c r="A12" s="412"/>
      <c r="B12" s="436" t="s">
        <v>543</v>
      </c>
      <c r="C12" s="573">
        <v>0</v>
      </c>
      <c r="D12" s="440" t="s">
        <v>287</v>
      </c>
      <c r="E12" s="441" t="s">
        <v>255</v>
      </c>
      <c r="F12" s="1206"/>
      <c r="G12" s="412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</row>
    <row r="13" spans="1:11" ht="12.75" thickBot="1">
      <c r="A13" s="412"/>
      <c r="B13" s="436" t="s">
        <v>358</v>
      </c>
      <c r="C13" s="472">
        <v>0</v>
      </c>
      <c r="D13" s="440" t="s">
        <v>359</v>
      </c>
      <c r="E13" s="441" t="s">
        <v>360</v>
      </c>
      <c r="F13" s="1207"/>
      <c r="G13" s="412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</row>
    <row r="14" spans="1:11" ht="12" customHeight="1">
      <c r="A14" s="412"/>
      <c r="B14" s="426" t="s">
        <v>361</v>
      </c>
      <c r="C14" s="469">
        <v>0</v>
      </c>
      <c r="D14" s="427" t="s">
        <v>287</v>
      </c>
      <c r="E14" s="428" t="s">
        <v>255</v>
      </c>
      <c r="F14" s="1174" t="s">
        <v>597</v>
      </c>
      <c r="G14" s="412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</row>
    <row r="15" spans="1:11" ht="12">
      <c r="A15" s="412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12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</row>
    <row r="16" spans="1:11" ht="12">
      <c r="A16" s="412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12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</row>
    <row r="17" spans="1:11" ht="12.75" thickBot="1">
      <c r="A17" s="412"/>
      <c r="B17" s="497" t="s">
        <v>466</v>
      </c>
      <c r="C17" s="479">
        <v>0</v>
      </c>
      <c r="D17" s="633" t="s">
        <v>287</v>
      </c>
      <c r="E17" s="523" t="s">
        <v>255</v>
      </c>
      <c r="F17" s="1176"/>
      <c r="G17" s="412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</row>
    <row r="18" spans="1:11" ht="12.75" thickBot="1">
      <c r="A18" s="412"/>
      <c r="B18" s="643" t="s">
        <v>502</v>
      </c>
      <c r="C18" s="573">
        <v>0</v>
      </c>
      <c r="D18" s="1216" t="s">
        <v>540</v>
      </c>
      <c r="E18" s="1217"/>
      <c r="F18" s="644"/>
      <c r="G18" s="412"/>
      <c r="H18" s="571"/>
      <c r="I18" s="572"/>
      <c r="J18" s="645"/>
      <c r="K18" s="344"/>
    </row>
    <row r="19" spans="1:11" ht="12">
      <c r="A19" s="412"/>
      <c r="B19" s="414" t="s">
        <v>147</v>
      </c>
      <c r="C19" s="471">
        <v>0</v>
      </c>
      <c r="D19" s="1177" t="s">
        <v>686</v>
      </c>
      <c r="E19" s="1178"/>
      <c r="F19" s="1179"/>
      <c r="G19" s="412"/>
      <c r="H19" s="571"/>
      <c r="I19" s="572"/>
      <c r="J19" s="645"/>
      <c r="K19" s="344"/>
    </row>
    <row r="20" spans="1:11" ht="12">
      <c r="A20" s="412"/>
      <c r="B20" s="424" t="s">
        <v>146</v>
      </c>
      <c r="C20" s="468">
        <v>0</v>
      </c>
      <c r="D20" s="1180" t="s">
        <v>687</v>
      </c>
      <c r="E20" s="1181"/>
      <c r="F20" s="1182"/>
      <c r="G20" s="412"/>
      <c r="H20" s="571"/>
      <c r="I20" s="572"/>
      <c r="J20" s="645"/>
      <c r="K20" s="344"/>
    </row>
    <row r="21" spans="1:11" ht="12.75" thickBot="1">
      <c r="A21" s="412"/>
      <c r="B21" s="419" t="s">
        <v>143</v>
      </c>
      <c r="C21" s="470">
        <v>0</v>
      </c>
      <c r="D21" s="1183" t="s">
        <v>688</v>
      </c>
      <c r="E21" s="1184"/>
      <c r="F21" s="1185"/>
      <c r="G21" s="412"/>
      <c r="H21" s="571"/>
      <c r="I21" s="572"/>
      <c r="J21" s="645"/>
      <c r="K21" s="344"/>
    </row>
    <row r="22" spans="1:11" ht="12" thickBot="1">
      <c r="A22" s="412"/>
      <c r="B22" s="646"/>
      <c r="C22" s="611"/>
      <c r="D22" s="442"/>
      <c r="E22" s="442"/>
      <c r="F22" s="448"/>
      <c r="G22" s="412"/>
      <c r="H22" s="647"/>
      <c r="I22" s="647"/>
      <c r="J22" s="647"/>
      <c r="K22" s="647"/>
    </row>
    <row r="23" spans="1:11" ht="12.75">
      <c r="A23" s="412"/>
      <c r="B23" s="451" t="s">
        <v>5</v>
      </c>
      <c r="C23" s="452" t="s">
        <v>0</v>
      </c>
      <c r="D23" s="453" t="s">
        <v>4</v>
      </c>
      <c r="E23" s="454" t="s">
        <v>8</v>
      </c>
      <c r="F23" s="446"/>
      <c r="G23" s="412"/>
      <c r="H23" s="412"/>
      <c r="I23" s="412"/>
      <c r="J23" s="412"/>
      <c r="K23" s="412"/>
    </row>
    <row r="24" spans="1:11">
      <c r="A24" s="412"/>
      <c r="B24" s="456" t="s">
        <v>605</v>
      </c>
      <c r="C24" s="349">
        <f>IF(C17=1,C4*(C10+C11),0)</f>
        <v>0</v>
      </c>
      <c r="D24" s="403"/>
      <c r="E24" s="330">
        <f>C24*D24</f>
        <v>0</v>
      </c>
      <c r="F24" s="446"/>
      <c r="G24" s="412"/>
      <c r="H24" s="412"/>
      <c r="I24" s="412"/>
      <c r="J24" s="412"/>
      <c r="K24" s="412"/>
    </row>
    <row r="25" spans="1:11">
      <c r="A25" s="412"/>
      <c r="B25" s="456" t="s">
        <v>672</v>
      </c>
      <c r="C25" s="349">
        <f>IF(C16=1,C4*(C10+C11),0)</f>
        <v>0</v>
      </c>
      <c r="D25" s="403"/>
      <c r="E25" s="330">
        <f t="shared" ref="E25:E69" si="1">C25*D25</f>
        <v>0</v>
      </c>
      <c r="F25" s="446"/>
      <c r="G25" s="412"/>
      <c r="H25" s="412"/>
      <c r="I25" s="412"/>
      <c r="J25" s="412"/>
      <c r="K25" s="412"/>
    </row>
    <row r="26" spans="1:11">
      <c r="A26" s="412"/>
      <c r="B26" s="456" t="s">
        <v>411</v>
      </c>
      <c r="C26" s="349">
        <f>(C14+C15)*C4*(C10+C11)*2</f>
        <v>0</v>
      </c>
      <c r="D26" s="403"/>
      <c r="E26" s="330">
        <f t="shared" si="1"/>
        <v>0</v>
      </c>
      <c r="F26" s="446"/>
      <c r="G26" s="412"/>
      <c r="H26" s="412"/>
      <c r="I26" s="412"/>
      <c r="J26" s="412"/>
      <c r="K26" s="412"/>
    </row>
    <row r="27" spans="1:11">
      <c r="A27" s="412"/>
      <c r="B27" s="458" t="s">
        <v>447</v>
      </c>
      <c r="C27" s="354">
        <f>IF(C13=0,(C10+C11)*2,0)</f>
        <v>0</v>
      </c>
      <c r="D27" s="360"/>
      <c r="E27" s="576">
        <f t="shared" si="1"/>
        <v>0</v>
      </c>
      <c r="F27" s="446"/>
      <c r="G27" s="412"/>
      <c r="H27" s="412"/>
      <c r="I27" s="412"/>
      <c r="J27" s="412"/>
      <c r="K27" s="412"/>
    </row>
    <row r="28" spans="1:11">
      <c r="A28" s="412"/>
      <c r="B28" s="458" t="s">
        <v>524</v>
      </c>
      <c r="C28" s="354">
        <f>IF(C13=1,(C10+C11)*2,0)</f>
        <v>0</v>
      </c>
      <c r="D28" s="360"/>
      <c r="E28" s="576">
        <f t="shared" si="1"/>
        <v>0</v>
      </c>
      <c r="F28" s="446"/>
      <c r="G28" s="412"/>
      <c r="H28" s="412"/>
      <c r="I28" s="412"/>
      <c r="J28" s="412"/>
      <c r="K28" s="412"/>
    </row>
    <row r="29" spans="1:11">
      <c r="A29" s="412"/>
      <c r="B29" s="458" t="s">
        <v>503</v>
      </c>
      <c r="C29" s="354">
        <f>IF(C13=0,(C4-1+C18)*(C10+C11),0)</f>
        <v>0</v>
      </c>
      <c r="D29" s="360"/>
      <c r="E29" s="576">
        <f t="shared" si="1"/>
        <v>0</v>
      </c>
      <c r="F29" s="446"/>
      <c r="G29" s="412"/>
      <c r="H29" s="412"/>
      <c r="I29" s="412"/>
      <c r="J29" s="412"/>
      <c r="K29" s="412"/>
    </row>
    <row r="30" spans="1:11">
      <c r="A30" s="412"/>
      <c r="B30" s="458" t="s">
        <v>542</v>
      </c>
      <c r="C30" s="354">
        <f>IF(C13=1,(C4-1+C18)*(C10+C11),0)</f>
        <v>0</v>
      </c>
      <c r="D30" s="360"/>
      <c r="E30" s="576">
        <f t="shared" si="1"/>
        <v>0</v>
      </c>
      <c r="F30" s="446"/>
      <c r="G30" s="412"/>
      <c r="H30" s="412"/>
      <c r="I30" s="412"/>
      <c r="J30" s="412"/>
      <c r="K30" s="412"/>
    </row>
    <row r="31" spans="1:11">
      <c r="A31" s="412"/>
      <c r="B31" s="458" t="s">
        <v>607</v>
      </c>
      <c r="C31" s="354">
        <f>IF(AND(C12=0,C13=0),(C10+C11)*2,0)</f>
        <v>0</v>
      </c>
      <c r="D31" s="360"/>
      <c r="E31" s="576">
        <f t="shared" si="1"/>
        <v>0</v>
      </c>
      <c r="F31" s="446"/>
      <c r="G31" s="412"/>
      <c r="H31" s="412"/>
      <c r="I31" s="412"/>
      <c r="J31" s="412"/>
      <c r="K31" s="412"/>
    </row>
    <row r="32" spans="1:11">
      <c r="A32" s="412"/>
      <c r="B32" s="458" t="s">
        <v>609</v>
      </c>
      <c r="C32" s="354">
        <f>IF(AND(C12=0,C13=1),(C10+C11)*2,0)</f>
        <v>0</v>
      </c>
      <c r="D32" s="360"/>
      <c r="E32" s="576">
        <f t="shared" si="1"/>
        <v>0</v>
      </c>
      <c r="F32" s="446"/>
      <c r="G32" s="412"/>
      <c r="H32" s="412"/>
      <c r="I32" s="412"/>
      <c r="J32" s="412"/>
      <c r="K32" s="412"/>
    </row>
    <row r="33" spans="1:11">
      <c r="A33" s="412"/>
      <c r="B33" s="458" t="s">
        <v>609</v>
      </c>
      <c r="C33" s="354">
        <f>IF(AND(C12=1,C13=0),(C10+C11)*2,0)</f>
        <v>0</v>
      </c>
      <c r="D33" s="360"/>
      <c r="E33" s="576">
        <f t="shared" si="1"/>
        <v>0</v>
      </c>
      <c r="F33" s="446"/>
      <c r="G33" s="412"/>
      <c r="H33" s="412"/>
      <c r="I33" s="412"/>
      <c r="J33" s="412"/>
      <c r="K33" s="412"/>
    </row>
    <row r="34" spans="1:11">
      <c r="A34" s="412"/>
      <c r="B34" s="458" t="s">
        <v>614</v>
      </c>
      <c r="C34" s="354">
        <f>IF(AND(C12=1,C13=1),(C10+C11)*2,0)</f>
        <v>0</v>
      </c>
      <c r="D34" s="360"/>
      <c r="E34" s="576">
        <f t="shared" si="1"/>
        <v>0</v>
      </c>
      <c r="F34" s="446"/>
      <c r="G34" s="412"/>
      <c r="H34" s="412"/>
      <c r="I34" s="412"/>
      <c r="J34" s="412"/>
      <c r="K34" s="412"/>
    </row>
    <row r="35" spans="1:11">
      <c r="A35" s="412"/>
      <c r="B35" s="456" t="s">
        <v>474</v>
      </c>
      <c r="C35" s="349">
        <f>C16*C2*(C10+C11)</f>
        <v>0</v>
      </c>
      <c r="D35" s="403"/>
      <c r="E35" s="576">
        <f t="shared" si="1"/>
        <v>0</v>
      </c>
      <c r="F35" s="446"/>
      <c r="G35" s="412"/>
      <c r="H35" s="412"/>
      <c r="I35" s="412"/>
      <c r="J35" s="412"/>
      <c r="K35" s="412"/>
    </row>
    <row r="36" spans="1:11">
      <c r="A36" s="412"/>
      <c r="B36" s="456" t="s">
        <v>474</v>
      </c>
      <c r="C36" s="349">
        <f>C2*C10</f>
        <v>0</v>
      </c>
      <c r="D36" s="403"/>
      <c r="E36" s="576">
        <f t="shared" si="1"/>
        <v>0</v>
      </c>
      <c r="F36" s="446"/>
      <c r="G36" s="412"/>
      <c r="H36" s="412"/>
      <c r="I36" s="412"/>
      <c r="J36" s="412"/>
      <c r="K36" s="412"/>
    </row>
    <row r="37" spans="1:11">
      <c r="A37" s="412"/>
      <c r="B37" s="456" t="s">
        <v>363</v>
      </c>
      <c r="C37" s="349">
        <f>C15*C2*2*(C10+C11)</f>
        <v>0</v>
      </c>
      <c r="D37" s="403"/>
      <c r="E37" s="576">
        <f t="shared" si="1"/>
        <v>0</v>
      </c>
      <c r="F37" s="352"/>
      <c r="G37" s="412"/>
      <c r="H37" s="412"/>
      <c r="I37" s="412"/>
      <c r="J37" s="412"/>
      <c r="K37" s="412"/>
    </row>
    <row r="38" spans="1:11">
      <c r="A38" s="412"/>
      <c r="B38" s="456" t="s">
        <v>479</v>
      </c>
      <c r="C38" s="349">
        <f>EVEN(ROUNDDOWN(IF(C12=1,(C12*C2*(C10+C11))/0.5,0),0))</f>
        <v>0</v>
      </c>
      <c r="D38" s="403"/>
      <c r="E38" s="576">
        <f t="shared" si="1"/>
        <v>0</v>
      </c>
      <c r="F38" s="446"/>
      <c r="G38" s="412"/>
      <c r="H38" s="412"/>
      <c r="I38" s="412"/>
      <c r="J38" s="412"/>
      <c r="K38" s="412"/>
    </row>
    <row r="39" spans="1:11">
      <c r="A39" s="412"/>
      <c r="B39" s="458" t="s">
        <v>368</v>
      </c>
      <c r="C39" s="354">
        <f>(C27+C28+C29+C30)*2</f>
        <v>0</v>
      </c>
      <c r="D39" s="560"/>
      <c r="E39" s="576">
        <f t="shared" si="1"/>
        <v>0</v>
      </c>
      <c r="F39" s="446"/>
      <c r="G39" s="412"/>
      <c r="H39" s="412"/>
      <c r="I39" s="412"/>
      <c r="J39" s="412"/>
      <c r="K39" s="412"/>
    </row>
    <row r="40" spans="1:11">
      <c r="A40" s="412"/>
      <c r="B40" s="458" t="s">
        <v>118</v>
      </c>
      <c r="C40" s="354">
        <f>C17*C2*(C10+C11)</f>
        <v>0</v>
      </c>
      <c r="D40" s="360"/>
      <c r="E40" s="576">
        <f t="shared" si="1"/>
        <v>0</v>
      </c>
      <c r="F40" s="446"/>
      <c r="G40" s="412"/>
      <c r="H40" s="412"/>
      <c r="I40" s="412"/>
      <c r="J40" s="412"/>
      <c r="K40" s="412"/>
    </row>
    <row r="41" spans="1:11">
      <c r="A41" s="412"/>
      <c r="B41" s="458" t="s">
        <v>616</v>
      </c>
      <c r="C41" s="354">
        <f>C17*C2*(C10+C11)</f>
        <v>0</v>
      </c>
      <c r="D41" s="360"/>
      <c r="E41" s="576">
        <f t="shared" si="1"/>
        <v>0</v>
      </c>
      <c r="F41" s="446"/>
      <c r="G41" s="412"/>
      <c r="H41" s="412"/>
      <c r="I41" s="412"/>
      <c r="J41" s="412"/>
      <c r="K41" s="412"/>
    </row>
    <row r="42" spans="1:11">
      <c r="A42" s="412"/>
      <c r="B42" s="458" t="s">
        <v>467</v>
      </c>
      <c r="C42" s="354">
        <f>C16*C2*(C10+C11)</f>
        <v>0</v>
      </c>
      <c r="D42" s="360"/>
      <c r="E42" s="576">
        <f t="shared" si="1"/>
        <v>0</v>
      </c>
      <c r="F42" s="446"/>
      <c r="G42" s="412"/>
      <c r="H42" s="412"/>
      <c r="I42" s="412"/>
      <c r="J42" s="412"/>
      <c r="K42" s="412"/>
    </row>
    <row r="43" spans="1:11">
      <c r="A43" s="412"/>
      <c r="B43" s="458" t="s">
        <v>364</v>
      </c>
      <c r="C43" s="354">
        <f>C14*C2*(C10+C11)</f>
        <v>0</v>
      </c>
      <c r="D43" s="560"/>
      <c r="E43" s="576">
        <f t="shared" si="1"/>
        <v>0</v>
      </c>
      <c r="F43" s="352"/>
      <c r="G43" s="412"/>
      <c r="H43" s="412"/>
      <c r="I43" s="412"/>
      <c r="J43" s="412"/>
      <c r="K43" s="412"/>
    </row>
    <row r="44" spans="1:11">
      <c r="A44" s="412"/>
      <c r="B44" s="458" t="s">
        <v>365</v>
      </c>
      <c r="C44" s="354">
        <f>C15*C2*(C10+C11)</f>
        <v>0</v>
      </c>
      <c r="D44" s="560"/>
      <c r="E44" s="576">
        <f t="shared" si="1"/>
        <v>0</v>
      </c>
      <c r="F44" s="352"/>
      <c r="G44" s="412"/>
      <c r="H44" s="412"/>
      <c r="I44" s="412"/>
      <c r="J44" s="412"/>
      <c r="K44" s="412"/>
    </row>
    <row r="45" spans="1:11">
      <c r="A45" s="412"/>
      <c r="B45" s="456" t="s">
        <v>451</v>
      </c>
      <c r="C45" s="349">
        <f>C2*C10</f>
        <v>0</v>
      </c>
      <c r="D45" s="403"/>
      <c r="E45" s="576">
        <f t="shared" si="1"/>
        <v>0</v>
      </c>
      <c r="F45" s="446"/>
      <c r="G45" s="412"/>
      <c r="H45" s="412"/>
      <c r="I45" s="412"/>
      <c r="J45" s="412"/>
      <c r="K45" s="412"/>
    </row>
    <row r="46" spans="1:11">
      <c r="A46" s="412"/>
      <c r="B46" s="456" t="s">
        <v>450</v>
      </c>
      <c r="C46" s="349">
        <f>C2*C11</f>
        <v>0</v>
      </c>
      <c r="D46" s="403"/>
      <c r="E46" s="576">
        <f>C46*D46</f>
        <v>0</v>
      </c>
      <c r="F46" s="446"/>
      <c r="G46" s="412"/>
      <c r="H46" s="412"/>
      <c r="I46" s="412"/>
      <c r="J46" s="412"/>
      <c r="K46" s="412"/>
    </row>
    <row r="47" spans="1:11">
      <c r="A47" s="412"/>
      <c r="B47" s="456" t="s">
        <v>366</v>
      </c>
      <c r="C47" s="349">
        <f>(C11+C10)*C12*C2</f>
        <v>0</v>
      </c>
      <c r="D47" s="360"/>
      <c r="E47" s="351">
        <f>C47*D47</f>
        <v>0</v>
      </c>
      <c r="F47" s="446"/>
      <c r="G47" s="412"/>
      <c r="H47" s="412"/>
      <c r="I47" s="412"/>
      <c r="J47" s="412"/>
      <c r="K47" s="412"/>
    </row>
    <row r="48" spans="1:11">
      <c r="A48" s="412"/>
      <c r="B48" s="456" t="s">
        <v>724</v>
      </c>
      <c r="C48" s="349">
        <f>C11*((C4*2)-2)</f>
        <v>0</v>
      </c>
      <c r="D48" s="360"/>
      <c r="E48" s="351">
        <v>0</v>
      </c>
      <c r="F48" s="446"/>
      <c r="G48" s="412"/>
      <c r="H48" s="412"/>
      <c r="I48" s="412"/>
      <c r="J48" s="412"/>
      <c r="K48" s="412"/>
    </row>
    <row r="49" spans="1:11">
      <c r="A49" s="412"/>
      <c r="B49" s="458" t="s">
        <v>367</v>
      </c>
      <c r="C49" s="354">
        <f>C10</f>
        <v>0</v>
      </c>
      <c r="D49" s="360"/>
      <c r="E49" s="576">
        <f t="shared" si="1"/>
        <v>0</v>
      </c>
      <c r="F49" s="446"/>
      <c r="G49" s="412"/>
      <c r="H49" s="412"/>
      <c r="I49" s="412"/>
      <c r="J49" s="412"/>
      <c r="K49" s="412"/>
    </row>
    <row r="50" spans="1:11">
      <c r="A50" s="412"/>
      <c r="B50" s="458" t="s">
        <v>470</v>
      </c>
      <c r="C50" s="354">
        <f>C11</f>
        <v>0</v>
      </c>
      <c r="D50" s="360"/>
      <c r="E50" s="576">
        <f>C50*D50</f>
        <v>0</v>
      </c>
      <c r="F50" s="446"/>
      <c r="G50" s="412"/>
      <c r="H50" s="412"/>
      <c r="I50" s="412"/>
      <c r="J50" s="412"/>
      <c r="K50" s="412"/>
    </row>
    <row r="51" spans="1:11">
      <c r="A51" s="412"/>
      <c r="B51" s="458" t="s">
        <v>504</v>
      </c>
      <c r="C51" s="354">
        <f>(C4-1)*(C10+C11)</f>
        <v>0</v>
      </c>
      <c r="D51" s="360">
        <v>1</v>
      </c>
      <c r="E51" s="576">
        <f t="shared" si="1"/>
        <v>0</v>
      </c>
      <c r="F51" s="446"/>
      <c r="G51" s="412"/>
      <c r="H51" s="412"/>
      <c r="I51" s="412"/>
      <c r="J51" s="412"/>
      <c r="K51" s="412"/>
    </row>
    <row r="52" spans="1:11">
      <c r="A52" s="412"/>
      <c r="B52" s="458" t="s">
        <v>505</v>
      </c>
      <c r="C52" s="354">
        <f>(C4-1)*(C10+C11)</f>
        <v>0</v>
      </c>
      <c r="D52" s="360"/>
      <c r="E52" s="576">
        <f t="shared" si="1"/>
        <v>0</v>
      </c>
      <c r="F52" s="446"/>
      <c r="G52" s="412"/>
      <c r="H52" s="412"/>
      <c r="I52" s="412"/>
      <c r="J52" s="412"/>
      <c r="K52" s="412"/>
    </row>
    <row r="53" spans="1:11">
      <c r="A53" s="412"/>
      <c r="B53" s="458" t="s">
        <v>828</v>
      </c>
      <c r="C53" s="354">
        <f>C10+C11</f>
        <v>0</v>
      </c>
      <c r="D53" s="360"/>
      <c r="E53" s="576">
        <f t="shared" si="1"/>
        <v>0</v>
      </c>
      <c r="F53" s="446"/>
      <c r="G53" s="412"/>
      <c r="H53" s="412"/>
      <c r="I53" s="412"/>
      <c r="J53" s="412"/>
      <c r="K53" s="412"/>
    </row>
    <row r="54" spans="1:11">
      <c r="A54" s="412"/>
      <c r="B54" s="459" t="s">
        <v>506</v>
      </c>
      <c r="C54" s="406">
        <f>(C4-1+C18)*(C10+C11)</f>
        <v>0</v>
      </c>
      <c r="D54" s="360"/>
      <c r="E54" s="576">
        <f t="shared" si="1"/>
        <v>0</v>
      </c>
      <c r="F54" s="446"/>
      <c r="G54" s="530"/>
      <c r="H54" s="412"/>
      <c r="I54" s="412"/>
      <c r="J54" s="412"/>
      <c r="K54" s="412"/>
    </row>
    <row r="55" spans="1:11" ht="11.25" customHeight="1">
      <c r="A55" s="412"/>
      <c r="B55" s="459" t="s">
        <v>507</v>
      </c>
      <c r="C55" s="406">
        <f>(C4-1+C18)*(C10+C11)</f>
        <v>0</v>
      </c>
      <c r="D55" s="360"/>
      <c r="E55" s="576">
        <f t="shared" si="1"/>
        <v>0</v>
      </c>
      <c r="F55" s="446"/>
      <c r="G55" s="412"/>
      <c r="H55" s="412"/>
      <c r="I55" s="412"/>
      <c r="J55" s="412"/>
      <c r="K55" s="412"/>
    </row>
    <row r="56" spans="1:11" ht="11.25" customHeight="1">
      <c r="A56" s="412"/>
      <c r="B56" s="459" t="s">
        <v>508</v>
      </c>
      <c r="C56" s="406">
        <f>C18*(C10+C11)</f>
        <v>0</v>
      </c>
      <c r="D56" s="360"/>
      <c r="E56" s="576">
        <f t="shared" si="1"/>
        <v>0</v>
      </c>
      <c r="F56" s="446"/>
      <c r="G56" s="412"/>
      <c r="H56" s="412"/>
      <c r="I56" s="412"/>
      <c r="J56" s="412"/>
      <c r="K56" s="412"/>
    </row>
    <row r="57" spans="1:11" ht="11.25" customHeight="1">
      <c r="A57" s="412"/>
      <c r="B57" s="459" t="s">
        <v>454</v>
      </c>
      <c r="C57" s="406">
        <f>(C5+C6)*C10</f>
        <v>0</v>
      </c>
      <c r="D57" s="360"/>
      <c r="E57" s="576">
        <f t="shared" si="1"/>
        <v>0</v>
      </c>
      <c r="F57" s="446"/>
      <c r="G57" s="412"/>
      <c r="H57" s="412"/>
      <c r="I57" s="412"/>
      <c r="J57" s="412"/>
      <c r="K57" s="412"/>
    </row>
    <row r="58" spans="1:11" ht="11.25" customHeight="1">
      <c r="A58" s="412"/>
      <c r="B58" s="459" t="s">
        <v>375</v>
      </c>
      <c r="C58" s="406">
        <f>C6*C10</f>
        <v>0</v>
      </c>
      <c r="D58" s="360"/>
      <c r="E58" s="576">
        <f t="shared" si="1"/>
        <v>0</v>
      </c>
      <c r="F58" s="446"/>
      <c r="G58" s="412"/>
      <c r="H58" s="412"/>
      <c r="I58" s="412"/>
      <c r="J58" s="412"/>
      <c r="K58" s="412"/>
    </row>
    <row r="59" spans="1:11" ht="11.25" customHeight="1">
      <c r="A59" s="412"/>
      <c r="B59" s="459" t="s">
        <v>495</v>
      </c>
      <c r="C59" s="406">
        <f>C6*C10</f>
        <v>0</v>
      </c>
      <c r="D59" s="360"/>
      <c r="E59" s="576">
        <f t="shared" si="1"/>
        <v>0</v>
      </c>
      <c r="F59" s="446"/>
      <c r="G59" s="412"/>
      <c r="H59" s="412"/>
      <c r="I59" s="412"/>
      <c r="J59" s="412"/>
      <c r="K59" s="412"/>
    </row>
    <row r="60" spans="1:11" ht="11.25" customHeight="1">
      <c r="A60" s="412"/>
      <c r="B60" s="459" t="s">
        <v>380</v>
      </c>
      <c r="C60" s="406">
        <f>C5*C10</f>
        <v>0</v>
      </c>
      <c r="D60" s="360"/>
      <c r="E60" s="576">
        <f t="shared" si="1"/>
        <v>0</v>
      </c>
      <c r="F60" s="446"/>
      <c r="G60" s="412"/>
      <c r="H60" s="412"/>
      <c r="I60" s="412"/>
      <c r="J60" s="412"/>
      <c r="K60" s="412"/>
    </row>
    <row r="61" spans="1:11" ht="11.25" customHeight="1">
      <c r="A61" s="412"/>
      <c r="B61" s="459" t="s">
        <v>378</v>
      </c>
      <c r="C61" s="406">
        <f>C11*C8</f>
        <v>0</v>
      </c>
      <c r="D61" s="360"/>
      <c r="E61" s="407">
        <f t="shared" si="1"/>
        <v>0</v>
      </c>
      <c r="F61" s="446"/>
      <c r="G61" s="412"/>
      <c r="H61" s="412"/>
      <c r="I61" s="412"/>
      <c r="J61" s="412"/>
      <c r="K61" s="412"/>
    </row>
    <row r="62" spans="1:11" ht="11.25" customHeight="1">
      <c r="A62" s="412"/>
      <c r="B62" s="459" t="s">
        <v>386</v>
      </c>
      <c r="C62" s="406">
        <f>C11*C7</f>
        <v>0</v>
      </c>
      <c r="D62" s="360"/>
      <c r="E62" s="407">
        <f t="shared" si="1"/>
        <v>0</v>
      </c>
      <c r="F62" s="446"/>
      <c r="G62" s="412"/>
      <c r="H62" s="412"/>
      <c r="I62" s="412"/>
      <c r="J62" s="412"/>
      <c r="K62" s="412"/>
    </row>
    <row r="63" spans="1:11" ht="11.25" customHeight="1">
      <c r="A63" s="412"/>
      <c r="B63" s="459" t="s">
        <v>387</v>
      </c>
      <c r="C63" s="406">
        <f>C11*C7</f>
        <v>0</v>
      </c>
      <c r="D63" s="360"/>
      <c r="E63" s="407">
        <f t="shared" si="1"/>
        <v>0</v>
      </c>
      <c r="F63" s="446"/>
      <c r="G63" s="412"/>
      <c r="H63" s="412"/>
      <c r="I63" s="412"/>
      <c r="J63" s="412"/>
      <c r="K63" s="412"/>
    </row>
    <row r="64" spans="1:11" ht="11.25" customHeight="1">
      <c r="A64" s="412"/>
      <c r="B64" s="459" t="s">
        <v>377</v>
      </c>
      <c r="C64" s="406">
        <f>C11*C8</f>
        <v>0</v>
      </c>
      <c r="D64" s="360"/>
      <c r="E64" s="407">
        <f t="shared" si="1"/>
        <v>0</v>
      </c>
      <c r="F64" s="446"/>
      <c r="G64" s="412"/>
      <c r="H64" s="412"/>
      <c r="I64" s="412"/>
      <c r="J64" s="412"/>
      <c r="K64" s="412"/>
    </row>
    <row r="65" spans="1:11" ht="11.25" customHeight="1">
      <c r="A65" s="412"/>
      <c r="B65" s="458" t="s">
        <v>480</v>
      </c>
      <c r="C65" s="354">
        <f>C11*C2</f>
        <v>0</v>
      </c>
      <c r="D65" s="360"/>
      <c r="E65" s="351">
        <f t="shared" si="1"/>
        <v>0</v>
      </c>
      <c r="F65" s="446"/>
      <c r="G65" s="412"/>
      <c r="H65" s="412"/>
      <c r="I65" s="412"/>
      <c r="J65" s="412"/>
      <c r="K65" s="412"/>
    </row>
    <row r="66" spans="1:11" ht="11.25" customHeight="1">
      <c r="A66" s="412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12"/>
      <c r="H66" s="412"/>
      <c r="I66" s="412"/>
      <c r="J66" s="412"/>
      <c r="K66" s="412"/>
    </row>
    <row r="67" spans="1:11" ht="11.25" customHeight="1">
      <c r="A67" s="412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12"/>
      <c r="H67" s="412"/>
      <c r="I67" s="412"/>
      <c r="J67" s="412"/>
      <c r="K67" s="412"/>
    </row>
    <row r="68" spans="1:11" ht="11.25" customHeight="1">
      <c r="A68" s="412"/>
      <c r="B68" s="532" t="s">
        <v>689</v>
      </c>
      <c r="C68" s="513">
        <f>C21</f>
        <v>0</v>
      </c>
      <c r="D68" s="529"/>
      <c r="E68" s="407">
        <f t="shared" si="1"/>
        <v>0</v>
      </c>
      <c r="F68" s="446"/>
      <c r="G68" s="412"/>
      <c r="H68" s="412"/>
      <c r="I68" s="412"/>
      <c r="J68" s="412"/>
      <c r="K68" s="412"/>
    </row>
    <row r="69" spans="1:11" ht="11.25" customHeight="1" thickBot="1">
      <c r="A69" s="412"/>
      <c r="B69" s="461" t="s">
        <v>829</v>
      </c>
      <c r="C69" s="409">
        <f>C5*C10</f>
        <v>0</v>
      </c>
      <c r="D69" s="480"/>
      <c r="E69" s="577">
        <f t="shared" si="1"/>
        <v>0</v>
      </c>
      <c r="F69" s="460"/>
      <c r="G69" s="412"/>
      <c r="H69" s="412"/>
      <c r="I69" s="412"/>
      <c r="J69" s="412"/>
      <c r="K69" s="412"/>
    </row>
    <row r="70" spans="1:11" ht="11.25" customHeight="1" thickBot="1">
      <c r="A70" s="412"/>
      <c r="B70" s="446"/>
      <c r="C70" s="446"/>
      <c r="D70" s="462" t="s">
        <v>9</v>
      </c>
      <c r="E70" s="648">
        <f>SUMIF(E24:E69,"&gt;0",E24:E69)</f>
        <v>0</v>
      </c>
      <c r="F70" s="649"/>
      <c r="G70" s="412"/>
      <c r="H70" s="412"/>
      <c r="I70" s="412"/>
      <c r="J70" s="412"/>
      <c r="K70" s="412"/>
    </row>
    <row r="71" spans="1:11" ht="11.25" customHeight="1">
      <c r="A71" s="412"/>
      <c r="B71" s="446"/>
      <c r="C71" s="446"/>
      <c r="D71" s="446"/>
      <c r="E71" s="446"/>
      <c r="F71" s="649"/>
      <c r="G71" s="412"/>
      <c r="H71" s="412"/>
      <c r="I71" s="412"/>
      <c r="J71" s="412"/>
      <c r="K71" s="412"/>
    </row>
    <row r="72" spans="1:11" ht="11.25" customHeight="1">
      <c r="A72" s="412"/>
      <c r="B72" s="446"/>
      <c r="C72" s="446"/>
      <c r="D72" s="446"/>
      <c r="E72" s="446"/>
      <c r="F72" s="649"/>
      <c r="G72" s="412"/>
      <c r="H72" s="412"/>
      <c r="I72" s="412"/>
      <c r="J72" s="412"/>
      <c r="K72" s="412"/>
    </row>
    <row r="73" spans="1:11" ht="11.25" customHeight="1">
      <c r="A73" s="412"/>
      <c r="B73" s="412"/>
      <c r="C73" s="412"/>
      <c r="D73" s="412"/>
      <c r="E73" s="412"/>
      <c r="F73" s="650"/>
      <c r="G73" s="412"/>
      <c r="H73" s="412"/>
      <c r="I73" s="412"/>
      <c r="J73" s="412"/>
      <c r="K73" s="412"/>
    </row>
    <row r="74" spans="1:11" ht="11.25" customHeight="1">
      <c r="A74" s="412"/>
      <c r="B74" s="412"/>
      <c r="C74" s="412"/>
      <c r="D74" s="412"/>
      <c r="E74" s="412"/>
      <c r="F74" s="650"/>
      <c r="G74" s="412"/>
      <c r="H74" s="412"/>
      <c r="I74" s="412"/>
      <c r="J74" s="412"/>
      <c r="K74" s="412"/>
    </row>
    <row r="75" spans="1:11">
      <c r="A75" s="412"/>
      <c r="B75" s="412"/>
      <c r="C75" s="412"/>
      <c r="D75" s="412"/>
      <c r="E75" s="412"/>
      <c r="F75" s="650"/>
      <c r="G75" s="412"/>
      <c r="H75" s="412"/>
      <c r="I75" s="412"/>
      <c r="J75" s="412"/>
      <c r="K75" s="412"/>
    </row>
    <row r="76" spans="1:11">
      <c r="A76" s="412"/>
      <c r="B76" s="412"/>
      <c r="C76" s="412"/>
      <c r="D76" s="412"/>
      <c r="E76" s="412"/>
      <c r="F76" s="650"/>
      <c r="G76" s="412"/>
      <c r="H76" s="412"/>
      <c r="I76" s="412"/>
      <c r="J76" s="412"/>
      <c r="K76" s="412"/>
    </row>
    <row r="77" spans="1:11">
      <c r="A77" s="412"/>
      <c r="B77" s="412"/>
      <c r="C77" s="412"/>
      <c r="D77" s="412"/>
      <c r="E77" s="412"/>
      <c r="F77" s="650"/>
      <c r="G77" s="412"/>
      <c r="H77" s="412"/>
      <c r="I77" s="412"/>
      <c r="J77" s="412"/>
      <c r="K77" s="412"/>
    </row>
    <row r="78" spans="1:11" ht="12.75" customHeight="1">
      <c r="A78" s="412"/>
      <c r="B78" s="412"/>
      <c r="C78" s="412"/>
      <c r="D78" s="412"/>
      <c r="E78" s="412"/>
      <c r="F78" s="650"/>
      <c r="G78" s="412"/>
      <c r="H78" s="412"/>
      <c r="I78" s="412"/>
      <c r="J78" s="412"/>
      <c r="K78" s="412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345" priority="30" operator="greaterThan">
      <formula>0</formula>
    </cfRule>
  </conditionalFormatting>
  <conditionalFormatting sqref="C9">
    <cfRule type="cellIs" dxfId="344" priority="31" operator="greaterThan">
      <formula>0</formula>
    </cfRule>
  </conditionalFormatting>
  <conditionalFormatting sqref="I18:I21">
    <cfRule type="cellIs" dxfId="343" priority="22" operator="equal">
      <formula>"ДА"</formula>
    </cfRule>
    <cfRule type="cellIs" dxfId="342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341" priority="33" operator="greaterThan">
      <formula>0</formula>
    </cfRule>
  </conditionalFormatting>
  <conditionalFormatting sqref="C62:E63">
    <cfRule type="cellIs" dxfId="340" priority="16" operator="greaterThan">
      <formula>0</formula>
    </cfRule>
  </conditionalFormatting>
  <conditionalFormatting sqref="C61:E61">
    <cfRule type="cellIs" dxfId="339" priority="17" operator="greaterThan">
      <formula>0</formula>
    </cfRule>
  </conditionalFormatting>
  <conditionalFormatting sqref="J3:K17">
    <cfRule type="cellIs" dxfId="338" priority="8" operator="greaterThan">
      <formula>0</formula>
    </cfRule>
    <cfRule type="cellIs" dxfId="337" priority="11" operator="greaterThan">
      <formula>0</formula>
    </cfRule>
  </conditionalFormatting>
  <conditionalFormatting sqref="C64:E64">
    <cfRule type="cellIs" dxfId="336" priority="15" operator="greaterThan">
      <formula>0</formula>
    </cfRule>
  </conditionalFormatting>
  <conditionalFormatting sqref="I3:I17">
    <cfRule type="cellIs" dxfId="335" priority="12" operator="equal">
      <formula>"НЕТ"</formula>
    </cfRule>
    <cfRule type="cellIs" dxfId="334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33" priority="10" operator="greaterThan">
      <formula>0</formula>
    </cfRule>
  </conditionalFormatting>
  <conditionalFormatting sqref="C24:E46 C69:E69 C49:E64">
    <cfRule type="cellIs" dxfId="332" priority="5" operator="greaterThan">
      <formula>0</formula>
    </cfRule>
    <cfRule type="cellIs" dxfId="331" priority="6" operator="greaterThan">
      <formula>0</formula>
    </cfRule>
    <cfRule type="cellIs" dxfId="330" priority="9" operator="greaterThan">
      <formula>0</formula>
    </cfRule>
  </conditionalFormatting>
  <conditionalFormatting sqref="E70">
    <cfRule type="cellIs" dxfId="329" priority="7" operator="greaterThan">
      <formula>0</formula>
    </cfRule>
  </conditionalFormatting>
  <conditionalFormatting sqref="C65:E65">
    <cfRule type="cellIs" dxfId="328" priority="4" operator="greaterThan">
      <formula>0</formula>
    </cfRule>
  </conditionalFormatting>
  <conditionalFormatting sqref="C47:E48">
    <cfRule type="cellIs" dxfId="327" priority="3" operator="greaterThan">
      <formula>0</formula>
    </cfRule>
  </conditionalFormatting>
  <conditionalFormatting sqref="C19:C21">
    <cfRule type="cellIs" dxfId="326" priority="2" operator="greaterThan">
      <formula>0</formula>
    </cfRule>
  </conditionalFormatting>
  <conditionalFormatting sqref="C66:E68">
    <cfRule type="cellIs" dxfId="32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</row>
    <row r="3" spans="1:12" ht="12.75" thickBot="1">
      <c r="A3" s="412"/>
      <c r="B3" s="419" t="s">
        <v>667</v>
      </c>
      <c r="C3" s="466">
        <v>0</v>
      </c>
      <c r="D3" s="1169"/>
      <c r="E3" s="1170"/>
      <c r="F3" s="1171"/>
      <c r="G3" s="446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IF(I3="ДА",($C$14+$C$15)*J3,0)</f>
        <v>0</v>
      </c>
      <c r="L3" s="412"/>
    </row>
    <row r="4" spans="1:12" ht="12.75" thickBot="1">
      <c r="A4" s="412"/>
      <c r="B4" s="436" t="s">
        <v>127</v>
      </c>
      <c r="C4" s="573">
        <v>0</v>
      </c>
      <c r="D4" s="1218" t="s">
        <v>128</v>
      </c>
      <c r="E4" s="1219"/>
      <c r="F4" s="1220"/>
      <c r="G4" s="446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IF(I4="ДА",($C$14+$C$15)*J4,0)</f>
        <v>0</v>
      </c>
      <c r="L4" s="412"/>
    </row>
    <row r="5" spans="1:12" ht="11.25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5" t="s">
        <v>597</v>
      </c>
      <c r="G5" s="446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  <c r="L5" s="412"/>
    </row>
    <row r="6" spans="1:12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46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  <c r="L6" s="412"/>
    </row>
    <row r="7" spans="1:12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</row>
    <row r="8" spans="1:12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</row>
    <row r="9" spans="1:12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</row>
    <row r="10" spans="1:12" ht="12" customHeight="1">
      <c r="A10" s="412"/>
      <c r="B10" s="414" t="s">
        <v>361</v>
      </c>
      <c r="C10" s="471">
        <v>0</v>
      </c>
      <c r="D10" s="427" t="s">
        <v>287</v>
      </c>
      <c r="E10" s="632" t="s">
        <v>255</v>
      </c>
      <c r="F10" s="1174" t="s">
        <v>597</v>
      </c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</row>
    <row r="11" spans="1:12" ht="12">
      <c r="A11" s="412"/>
      <c r="B11" s="424" t="s">
        <v>362</v>
      </c>
      <c r="C11" s="468">
        <v>0</v>
      </c>
      <c r="D11" s="431" t="s">
        <v>287</v>
      </c>
      <c r="E11" s="651" t="s">
        <v>255</v>
      </c>
      <c r="F11" s="1175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</row>
    <row r="12" spans="1:12" ht="12">
      <c r="A12" s="412"/>
      <c r="B12" s="424" t="s">
        <v>467</v>
      </c>
      <c r="C12" s="468">
        <v>0</v>
      </c>
      <c r="D12" s="431" t="s">
        <v>287</v>
      </c>
      <c r="E12" s="651" t="s">
        <v>255</v>
      </c>
      <c r="F12" s="1175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</row>
    <row r="13" spans="1:12" ht="12.75" thickBot="1">
      <c r="A13" s="412"/>
      <c r="B13" s="419" t="s">
        <v>466</v>
      </c>
      <c r="C13" s="470">
        <v>0</v>
      </c>
      <c r="D13" s="434" t="s">
        <v>287</v>
      </c>
      <c r="E13" s="438" t="s">
        <v>255</v>
      </c>
      <c r="F13" s="1176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</row>
    <row r="14" spans="1:12" ht="11.25" customHeight="1">
      <c r="A14" s="412"/>
      <c r="B14" s="426" t="s">
        <v>670</v>
      </c>
      <c r="C14" s="574">
        <v>0</v>
      </c>
      <c r="D14" s="1208" t="s">
        <v>597</v>
      </c>
      <c r="E14" s="1209"/>
      <c r="F14" s="1210"/>
      <c r="G14" s="446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  <c r="L14" s="412"/>
    </row>
    <row r="15" spans="1:12" ht="12.75" thickBot="1">
      <c r="A15" s="412"/>
      <c r="B15" s="521" t="s">
        <v>671</v>
      </c>
      <c r="C15" s="575">
        <v>0</v>
      </c>
      <c r="D15" s="1211"/>
      <c r="E15" s="1212"/>
      <c r="F15" s="1213"/>
      <c r="G15" s="446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  <c r="L15" s="412"/>
    </row>
    <row r="16" spans="1:12" ht="12.75" thickBot="1">
      <c r="A16" s="412"/>
      <c r="B16" s="436" t="s">
        <v>404</v>
      </c>
      <c r="C16" s="472">
        <v>0</v>
      </c>
      <c r="D16" s="440" t="s">
        <v>544</v>
      </c>
      <c r="E16" s="652" t="s">
        <v>545</v>
      </c>
      <c r="F16" s="653"/>
      <c r="G16" s="446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  <c r="L17" s="412"/>
    </row>
    <row r="18" spans="1:12" s="73" customFormat="1" ht="12">
      <c r="A18" s="647"/>
      <c r="B18" s="424" t="s">
        <v>146</v>
      </c>
      <c r="C18" s="468">
        <v>0</v>
      </c>
      <c r="D18" s="1180" t="s">
        <v>687</v>
      </c>
      <c r="E18" s="1181"/>
      <c r="F18" s="1182"/>
      <c r="G18" s="450"/>
      <c r="H18" s="571"/>
      <c r="I18" s="572"/>
      <c r="J18" s="343"/>
      <c r="K18" s="344"/>
      <c r="L18" s="647"/>
    </row>
    <row r="19" spans="1:12" ht="12.75" thickBot="1">
      <c r="A19" s="412"/>
      <c r="B19" s="419" t="s">
        <v>143</v>
      </c>
      <c r="C19" s="470">
        <v>0</v>
      </c>
      <c r="D19" s="1183" t="s">
        <v>688</v>
      </c>
      <c r="E19" s="1184"/>
      <c r="F19" s="1185"/>
      <c r="G19" s="446"/>
      <c r="H19" s="571"/>
      <c r="I19" s="572"/>
      <c r="J19" s="343"/>
      <c r="K19" s="344"/>
      <c r="L19" s="412"/>
    </row>
    <row r="20" spans="1:12" ht="12.75" thickBot="1">
      <c r="A20" s="412"/>
      <c r="B20" s="724"/>
      <c r="C20" s="724"/>
      <c r="D20" s="724"/>
      <c r="E20" s="446"/>
      <c r="F20" s="446"/>
      <c r="G20" s="446"/>
      <c r="H20" s="571"/>
      <c r="I20" s="572"/>
      <c r="J20" s="343"/>
      <c r="K20" s="344"/>
      <c r="L20" s="412"/>
    </row>
    <row r="21" spans="1:12" ht="12.75">
      <c r="A21" s="412"/>
      <c r="B21" s="451" t="s">
        <v>5</v>
      </c>
      <c r="C21" s="452" t="s">
        <v>0</v>
      </c>
      <c r="D21" s="453" t="s">
        <v>4</v>
      </c>
      <c r="E21" s="454" t="s">
        <v>8</v>
      </c>
      <c r="F21" s="446"/>
      <c r="G21" s="446"/>
      <c r="H21" s="446"/>
      <c r="I21" s="446"/>
      <c r="J21" s="446"/>
      <c r="K21" s="446"/>
      <c r="L21" s="412"/>
    </row>
    <row r="22" spans="1:12">
      <c r="A22" s="412"/>
      <c r="B22" s="456" t="s">
        <v>468</v>
      </c>
      <c r="C22" s="349">
        <f>C13*C4*(C14+C15)</f>
        <v>0</v>
      </c>
      <c r="D22" s="350"/>
      <c r="E22" s="351">
        <f>C22*D22</f>
        <v>0</v>
      </c>
      <c r="F22" s="446"/>
      <c r="G22" s="446"/>
      <c r="H22" s="446"/>
      <c r="I22" s="446"/>
      <c r="J22" s="446"/>
      <c r="K22" s="446"/>
      <c r="L22" s="412"/>
    </row>
    <row r="23" spans="1:12">
      <c r="A23" s="412"/>
      <c r="B23" s="456" t="s">
        <v>541</v>
      </c>
      <c r="C23" s="349">
        <f>C12*C4*(C14+C15)</f>
        <v>0</v>
      </c>
      <c r="D23" s="360"/>
      <c r="E23" s="351">
        <f t="shared" ref="E23:E65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12"/>
      <c r="B24" s="456" t="s">
        <v>411</v>
      </c>
      <c r="C24" s="349">
        <f>(C10+C11)*C4*(C14+C15)*2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12"/>
      <c r="B25" s="458" t="s">
        <v>447</v>
      </c>
      <c r="C25" s="354">
        <f>(C14+C15)*2</f>
        <v>0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12"/>
      <c r="B26" s="458" t="s">
        <v>503</v>
      </c>
      <c r="C26" s="354">
        <f>(C4-1)*(C14+C15)</f>
        <v>0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12"/>
      <c r="B27" s="456" t="s">
        <v>474</v>
      </c>
      <c r="C27" s="349">
        <f>C2*C14</f>
        <v>0</v>
      </c>
      <c r="D27" s="350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12"/>
      <c r="B28" s="456" t="s">
        <v>474</v>
      </c>
      <c r="C28" s="349">
        <f>C2*C14*C12</f>
        <v>0</v>
      </c>
      <c r="D28" s="350"/>
      <c r="E28" s="351">
        <f>C28*D28</f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12"/>
      <c r="B29" s="456" t="s">
        <v>363</v>
      </c>
      <c r="C29" s="349">
        <f>C2*C11*2*(C14+C15)</f>
        <v>0</v>
      </c>
      <c r="D29" s="403"/>
      <c r="E29" s="576">
        <f>C29*D29</f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12"/>
      <c r="B30" s="458" t="s">
        <v>118</v>
      </c>
      <c r="C30" s="354">
        <f>C2*(C14+C15)*C10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12"/>
      <c r="B31" s="458" t="s">
        <v>472</v>
      </c>
      <c r="C31" s="354">
        <f>C2*(C14+C15)*C13</f>
        <v>0</v>
      </c>
      <c r="D31" s="355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12"/>
      <c r="B32" s="458" t="s">
        <v>473</v>
      </c>
      <c r="C32" s="354">
        <f>C2*C12*(C14+C15)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12"/>
      <c r="B33" s="458" t="s">
        <v>364</v>
      </c>
      <c r="C33" s="354">
        <f>C2*C10*(C14+C15)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12"/>
      <c r="B34" s="458" t="s">
        <v>365</v>
      </c>
      <c r="C34" s="354">
        <f>C2*C11*(C14+C15)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12"/>
      <c r="B35" s="456" t="s">
        <v>451</v>
      </c>
      <c r="C35" s="349">
        <f>C2*C14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12"/>
      <c r="B36" s="456" t="s">
        <v>450</v>
      </c>
      <c r="C36" s="349">
        <f>C2*C15</f>
        <v>0</v>
      </c>
      <c r="D36" s="403"/>
      <c r="E36" s="576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12"/>
      <c r="B37" s="642" t="s">
        <v>484</v>
      </c>
      <c r="C37" s="406">
        <f>C2*(C14+C15)</f>
        <v>0</v>
      </c>
      <c r="D37" s="561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12"/>
      <c r="B38" s="458" t="s">
        <v>368</v>
      </c>
      <c r="C38" s="354">
        <f>(C25+C26)*2</f>
        <v>0</v>
      </c>
      <c r="D38" s="560"/>
      <c r="E38" s="576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12"/>
      <c r="B39" s="458" t="s">
        <v>367</v>
      </c>
      <c r="C39" s="354">
        <f>C14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12"/>
      <c r="B40" s="458" t="s">
        <v>725</v>
      </c>
      <c r="C40" s="354">
        <f>C15*((C4*2)-2)</f>
        <v>0</v>
      </c>
      <c r="D40" s="355"/>
      <c r="E40" s="351">
        <f t="shared" ref="E40" si="2">C40*D40</f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12"/>
      <c r="B41" s="458" t="s">
        <v>470</v>
      </c>
      <c r="C41" s="354">
        <f>C15</f>
        <v>0</v>
      </c>
      <c r="D41" s="360"/>
      <c r="E41" s="576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12"/>
      <c r="B42" s="458" t="s">
        <v>504</v>
      </c>
      <c r="C42" s="354">
        <f>(C4-1)*(C14+C15)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12"/>
      <c r="B43" s="458" t="s">
        <v>505</v>
      </c>
      <c r="C43" s="354">
        <f>(C4-1)*(C14+C15)</f>
        <v>0</v>
      </c>
      <c r="D43" s="355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12"/>
      <c r="B44" s="458" t="s">
        <v>828</v>
      </c>
      <c r="C44" s="354">
        <f>(C14+C15)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>
      <c r="A45" s="412"/>
      <c r="B45" s="458" t="s">
        <v>408</v>
      </c>
      <c r="C45" s="354">
        <f>EVEN(ROUNDDOWN(IF(C16=1,(C2*(C15+C14)/0.5),0),0))</f>
        <v>0</v>
      </c>
      <c r="D45" s="355"/>
      <c r="E45" s="351">
        <f t="shared" si="1"/>
        <v>0</v>
      </c>
      <c r="F45" s="460"/>
      <c r="G45" s="446"/>
      <c r="H45" s="446"/>
      <c r="I45" s="446"/>
      <c r="J45" s="446"/>
      <c r="K45" s="446"/>
      <c r="L45" s="412"/>
    </row>
    <row r="46" spans="1:12">
      <c r="A46" s="412"/>
      <c r="B46" s="458" t="s">
        <v>479</v>
      </c>
      <c r="C46" s="354">
        <f>EVEN(ROUNDDOWN(IF(C16=0,(C2/0.5)*(C14+C15),0),0))</f>
        <v>0</v>
      </c>
      <c r="D46" s="355"/>
      <c r="E46" s="351">
        <f t="shared" si="1"/>
        <v>0</v>
      </c>
      <c r="F46" s="649"/>
      <c r="G46" s="446"/>
      <c r="H46" s="446"/>
      <c r="I46" s="446"/>
      <c r="J46" s="446"/>
      <c r="K46" s="446"/>
      <c r="L46" s="412"/>
    </row>
    <row r="47" spans="1:12">
      <c r="A47" s="412"/>
      <c r="B47" s="458" t="s">
        <v>456</v>
      </c>
      <c r="C47" s="354">
        <f>C2*(C14+C15)</f>
        <v>0</v>
      </c>
      <c r="D47" s="355"/>
      <c r="E47" s="351">
        <f t="shared" si="1"/>
        <v>0</v>
      </c>
      <c r="F47" s="654"/>
      <c r="G47" s="446"/>
      <c r="H47" s="446"/>
      <c r="I47" s="446"/>
      <c r="J47" s="446"/>
      <c r="K47" s="446"/>
      <c r="L47" s="412"/>
    </row>
    <row r="48" spans="1:12">
      <c r="A48" s="412"/>
      <c r="B48" s="458" t="s">
        <v>405</v>
      </c>
      <c r="C48" s="354">
        <f>C2*(C14+C15)</f>
        <v>0</v>
      </c>
      <c r="D48" s="355"/>
      <c r="E48" s="351">
        <f t="shared" si="1"/>
        <v>0</v>
      </c>
      <c r="F48" s="654"/>
      <c r="G48" s="446"/>
      <c r="H48" s="446"/>
      <c r="I48" s="446"/>
      <c r="J48" s="446"/>
      <c r="K48" s="446"/>
      <c r="L48" s="412"/>
    </row>
    <row r="49" spans="1:12">
      <c r="A49" s="412"/>
      <c r="B49" s="458" t="s">
        <v>406</v>
      </c>
      <c r="C49" s="354">
        <f>(C14+C15)</f>
        <v>0</v>
      </c>
      <c r="D49" s="355">
        <v>1</v>
      </c>
      <c r="E49" s="351">
        <f t="shared" si="1"/>
        <v>0</v>
      </c>
      <c r="F49" s="654"/>
      <c r="G49" s="446"/>
      <c r="H49" s="446"/>
      <c r="I49" s="446"/>
      <c r="J49" s="446"/>
      <c r="K49" s="446"/>
      <c r="L49" s="412"/>
    </row>
    <row r="50" spans="1:12">
      <c r="A50" s="412"/>
      <c r="B50" s="458" t="s">
        <v>407</v>
      </c>
      <c r="C50" s="354">
        <f>(C14+C15)</f>
        <v>0</v>
      </c>
      <c r="D50" s="355"/>
      <c r="E50" s="351">
        <f t="shared" si="1"/>
        <v>0</v>
      </c>
      <c r="F50" s="655"/>
      <c r="G50" s="446"/>
      <c r="H50" s="446"/>
      <c r="I50" s="446"/>
      <c r="J50" s="446"/>
      <c r="K50" s="446"/>
      <c r="L50" s="412"/>
    </row>
    <row r="51" spans="1:12">
      <c r="A51" s="412"/>
      <c r="B51" s="459" t="s">
        <v>506</v>
      </c>
      <c r="C51" s="361">
        <f>(C4-1)*(C14+C15)</f>
        <v>0</v>
      </c>
      <c r="D51" s="355"/>
      <c r="E51" s="351">
        <f t="shared" si="1"/>
        <v>0</v>
      </c>
      <c r="F51" s="655"/>
      <c r="G51" s="446"/>
      <c r="H51" s="446"/>
      <c r="I51" s="446"/>
      <c r="J51" s="446"/>
      <c r="K51" s="446"/>
      <c r="L51" s="412"/>
    </row>
    <row r="52" spans="1:12" ht="11.25" customHeight="1">
      <c r="A52" s="412"/>
      <c r="B52" s="459" t="s">
        <v>507</v>
      </c>
      <c r="C52" s="361">
        <f>(C4-1)*(C14+C15)</f>
        <v>0</v>
      </c>
      <c r="D52" s="355"/>
      <c r="E52" s="351">
        <f t="shared" si="1"/>
        <v>0</v>
      </c>
      <c r="F52" s="655"/>
      <c r="G52" s="446"/>
      <c r="H52" s="446"/>
      <c r="I52" s="446"/>
      <c r="J52" s="446"/>
      <c r="K52" s="446"/>
      <c r="L52" s="412"/>
    </row>
    <row r="53" spans="1:12">
      <c r="A53" s="412"/>
      <c r="B53" s="459" t="s">
        <v>454</v>
      </c>
      <c r="C53" s="361">
        <f>(C5+C6)*C14</f>
        <v>0</v>
      </c>
      <c r="D53" s="355"/>
      <c r="E53" s="351">
        <f t="shared" si="1"/>
        <v>0</v>
      </c>
      <c r="F53" s="656"/>
      <c r="G53" s="446"/>
      <c r="H53" s="446"/>
      <c r="I53" s="446"/>
      <c r="J53" s="446"/>
      <c r="K53" s="446"/>
      <c r="L53" s="412"/>
    </row>
    <row r="54" spans="1:12">
      <c r="A54" s="412"/>
      <c r="B54" s="459" t="s">
        <v>375</v>
      </c>
      <c r="C54" s="361">
        <f>C6*C14</f>
        <v>0</v>
      </c>
      <c r="D54" s="355"/>
      <c r="E54" s="351">
        <f t="shared" si="1"/>
        <v>0</v>
      </c>
      <c r="F54" s="657"/>
      <c r="G54" s="446"/>
      <c r="H54" s="446"/>
      <c r="I54" s="446"/>
      <c r="J54" s="446"/>
      <c r="K54" s="446"/>
      <c r="L54" s="412"/>
    </row>
    <row r="55" spans="1:12">
      <c r="A55" s="412"/>
      <c r="B55" s="459" t="s">
        <v>495</v>
      </c>
      <c r="C55" s="361">
        <f>C6*C14</f>
        <v>0</v>
      </c>
      <c r="D55" s="355"/>
      <c r="E55" s="351">
        <f t="shared" si="1"/>
        <v>0</v>
      </c>
      <c r="F55" s="657"/>
      <c r="G55" s="446"/>
      <c r="H55" s="446"/>
      <c r="I55" s="446"/>
      <c r="J55" s="446"/>
      <c r="K55" s="446"/>
      <c r="L55" s="412"/>
    </row>
    <row r="56" spans="1:12">
      <c r="A56" s="412"/>
      <c r="B56" s="459" t="s">
        <v>378</v>
      </c>
      <c r="C56" s="406">
        <f>C8*C15</f>
        <v>0</v>
      </c>
      <c r="D56" s="360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</row>
    <row r="57" spans="1:12">
      <c r="A57" s="412"/>
      <c r="B57" s="459" t="s">
        <v>386</v>
      </c>
      <c r="C57" s="406">
        <f>C7*C15</f>
        <v>0</v>
      </c>
      <c r="D57" s="360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</row>
    <row r="58" spans="1:12">
      <c r="A58" s="412"/>
      <c r="B58" s="459" t="s">
        <v>387</v>
      </c>
      <c r="C58" s="406">
        <f>C7*C15</f>
        <v>0</v>
      </c>
      <c r="D58" s="360"/>
      <c r="E58" s="407">
        <f t="shared" si="1"/>
        <v>0</v>
      </c>
      <c r="F58" s="657"/>
      <c r="G58" s="446"/>
      <c r="H58" s="446"/>
      <c r="I58" s="446"/>
      <c r="J58" s="446"/>
      <c r="K58" s="446"/>
      <c r="L58" s="412"/>
    </row>
    <row r="59" spans="1:12">
      <c r="A59" s="412"/>
      <c r="B59" s="459" t="s">
        <v>377</v>
      </c>
      <c r="C59" s="406">
        <f>C8*C15</f>
        <v>0</v>
      </c>
      <c r="D59" s="360"/>
      <c r="E59" s="407">
        <f t="shared" si="1"/>
        <v>0</v>
      </c>
      <c r="F59" s="657"/>
      <c r="G59" s="446"/>
      <c r="H59" s="446"/>
      <c r="I59" s="446"/>
      <c r="J59" s="446"/>
      <c r="K59" s="446"/>
      <c r="L59" s="412"/>
    </row>
    <row r="60" spans="1:12">
      <c r="A60" s="412"/>
      <c r="B60" s="458" t="s">
        <v>480</v>
      </c>
      <c r="C60" s="354">
        <f>C2*C15</f>
        <v>0</v>
      </c>
      <c r="D60" s="360"/>
      <c r="E60" s="351">
        <f t="shared" si="1"/>
        <v>0</v>
      </c>
      <c r="F60" s="657"/>
      <c r="G60" s="446"/>
      <c r="H60" s="446"/>
      <c r="I60" s="446"/>
      <c r="J60" s="446"/>
      <c r="K60" s="446"/>
      <c r="L60" s="412"/>
    </row>
    <row r="61" spans="1:12" ht="11.25" customHeight="1">
      <c r="A61" s="412"/>
      <c r="B61" s="459" t="s">
        <v>380</v>
      </c>
      <c r="C61" s="361">
        <f>C5*C14</f>
        <v>0</v>
      </c>
      <c r="D61" s="355"/>
      <c r="E61" s="351">
        <f t="shared" si="1"/>
        <v>0</v>
      </c>
      <c r="F61" s="657"/>
      <c r="G61" s="446"/>
      <c r="H61" s="446"/>
      <c r="I61" s="446"/>
      <c r="J61" s="446"/>
      <c r="K61" s="446"/>
      <c r="L61" s="412"/>
    </row>
    <row r="62" spans="1:12" ht="11.25" customHeight="1">
      <c r="A62" s="412"/>
      <c r="B62" s="532" t="s">
        <v>145</v>
      </c>
      <c r="C62" s="513">
        <f>C18</f>
        <v>0</v>
      </c>
      <c r="D62" s="529"/>
      <c r="E62" s="407">
        <f t="shared" si="1"/>
        <v>0</v>
      </c>
      <c r="F62" s="657"/>
      <c r="G62" s="446"/>
      <c r="H62" s="446"/>
      <c r="I62" s="446"/>
      <c r="J62" s="446"/>
      <c r="K62" s="446"/>
      <c r="L62" s="412"/>
    </row>
    <row r="63" spans="1:12" ht="11.25" customHeight="1">
      <c r="A63" s="412"/>
      <c r="B63" s="532" t="s">
        <v>148</v>
      </c>
      <c r="C63" s="513">
        <f>C17</f>
        <v>0</v>
      </c>
      <c r="D63" s="529"/>
      <c r="E63" s="407">
        <f t="shared" si="1"/>
        <v>0</v>
      </c>
      <c r="F63" s="657"/>
      <c r="G63" s="446"/>
      <c r="H63" s="446"/>
      <c r="I63" s="446"/>
      <c r="J63" s="446"/>
      <c r="K63" s="446"/>
      <c r="L63" s="412"/>
    </row>
    <row r="64" spans="1:12" ht="11.25" customHeight="1">
      <c r="A64" s="412"/>
      <c r="B64" s="532" t="s">
        <v>689</v>
      </c>
      <c r="C64" s="513">
        <f>C19</f>
        <v>0</v>
      </c>
      <c r="D64" s="529"/>
      <c r="E64" s="407">
        <f t="shared" si="1"/>
        <v>0</v>
      </c>
      <c r="F64" s="657"/>
      <c r="G64" s="446"/>
      <c r="H64" s="446"/>
      <c r="I64" s="446"/>
      <c r="J64" s="446"/>
      <c r="K64" s="446"/>
      <c r="L64" s="412"/>
    </row>
    <row r="65" spans="1:12" ht="12" thickBot="1">
      <c r="A65" s="412"/>
      <c r="B65" s="461" t="s">
        <v>829</v>
      </c>
      <c r="C65" s="409">
        <f>C5*C14</f>
        <v>0</v>
      </c>
      <c r="D65" s="410"/>
      <c r="E65" s="411">
        <f t="shared" si="1"/>
        <v>0</v>
      </c>
      <c r="F65" s="658"/>
      <c r="G65" s="446"/>
      <c r="H65" s="446"/>
      <c r="I65" s="446"/>
      <c r="J65" s="446"/>
      <c r="K65" s="446"/>
      <c r="L65" s="412"/>
    </row>
    <row r="66" spans="1:12" ht="13.5" thickBot="1">
      <c r="A66" s="412"/>
      <c r="B66" s="446"/>
      <c r="C66" s="446"/>
      <c r="D66" s="462" t="s">
        <v>9</v>
      </c>
      <c r="E66" s="648">
        <f>SUMIF(E22:E65,"&gt;0",E22:E65)</f>
        <v>0</v>
      </c>
      <c r="F66" s="658"/>
      <c r="G66" s="446"/>
      <c r="H66" s="446"/>
      <c r="I66" s="446"/>
      <c r="J66" s="446"/>
      <c r="K66" s="446"/>
      <c r="L66" s="412"/>
    </row>
    <row r="67" spans="1:12">
      <c r="A67" s="412"/>
      <c r="B67" s="446"/>
      <c r="C67" s="446"/>
      <c r="D67" s="446"/>
      <c r="E67" s="446"/>
      <c r="F67" s="658"/>
      <c r="G67" s="446"/>
      <c r="H67" s="446"/>
      <c r="I67" s="446"/>
      <c r="J67" s="446"/>
      <c r="K67" s="446"/>
      <c r="L67" s="412"/>
    </row>
    <row r="68" spans="1:12">
      <c r="A68" s="412"/>
      <c r="B68" s="446"/>
      <c r="C68" s="446"/>
      <c r="D68" s="446"/>
      <c r="E68" s="446"/>
      <c r="F68" s="446"/>
      <c r="G68" s="446"/>
      <c r="H68" s="446"/>
      <c r="I68" s="446"/>
      <c r="J68" s="446"/>
      <c r="K68" s="446"/>
      <c r="L68" s="412"/>
    </row>
    <row r="69" spans="1:12" ht="11.25" customHeight="1">
      <c r="A69" s="412"/>
      <c r="B69" s="446"/>
      <c r="C69" s="446"/>
      <c r="D69" s="446"/>
      <c r="E69" s="446"/>
      <c r="F69" s="446"/>
      <c r="G69" s="446"/>
      <c r="H69" s="446"/>
      <c r="I69" s="446"/>
      <c r="J69" s="446"/>
      <c r="K69" s="446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  <row r="71" spans="1:12">
      <c r="A71" s="412"/>
      <c r="B71" s="412"/>
      <c r="C71" s="412"/>
      <c r="D71" s="412"/>
      <c r="E71" s="412"/>
      <c r="F71" s="412"/>
      <c r="G71" s="412"/>
      <c r="H71" s="412"/>
      <c r="I71" s="412"/>
      <c r="J71" s="412"/>
      <c r="K71" s="412"/>
      <c r="L71" s="412"/>
    </row>
    <row r="72" spans="1:12">
      <c r="A72" s="412"/>
      <c r="B72" s="412"/>
      <c r="C72" s="412"/>
      <c r="D72" s="412"/>
      <c r="E72" s="412"/>
      <c r="F72" s="412"/>
      <c r="G72" s="412"/>
      <c r="H72" s="412"/>
      <c r="I72" s="412"/>
      <c r="J72" s="412"/>
      <c r="K72" s="412"/>
      <c r="L72" s="412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324" priority="29" operator="greaterThan">
      <formula>0</formula>
    </cfRule>
  </conditionalFormatting>
  <conditionalFormatting sqref="C5:C8">
    <cfRule type="cellIs" dxfId="323" priority="27" operator="greaterThan">
      <formula>0</formula>
    </cfRule>
  </conditionalFormatting>
  <conditionalFormatting sqref="C9">
    <cfRule type="cellIs" dxfId="322" priority="30" operator="greaterThan">
      <formula>0</formula>
    </cfRule>
  </conditionalFormatting>
  <conditionalFormatting sqref="C9">
    <cfRule type="cellIs" dxfId="321" priority="31" operator="greaterThan">
      <formula>0</formula>
    </cfRule>
  </conditionalFormatting>
  <conditionalFormatting sqref="C14:C15">
    <cfRule type="cellIs" dxfId="320" priority="28" operator="greaterThan">
      <formula>0</formula>
    </cfRule>
  </conditionalFormatting>
  <conditionalFormatting sqref="J3:K20">
    <cfRule type="cellIs" dxfId="319" priority="5" operator="greaterThan">
      <formula>0</formula>
    </cfRule>
    <cfRule type="cellIs" dxfId="318" priority="22" operator="greaterThan">
      <formula>0</formula>
    </cfRule>
    <cfRule type="cellIs" dxfId="317" priority="23" operator="greaterThan">
      <formula>0</formula>
    </cfRule>
  </conditionalFormatting>
  <conditionalFormatting sqref="I3:I20">
    <cfRule type="cellIs" dxfId="316" priority="24" operator="equal">
      <formula>"НЕТ"</formula>
    </cfRule>
    <cfRule type="cellIs" dxfId="315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314" priority="19" operator="greaterThan">
      <formula>0</formula>
    </cfRule>
    <cfRule type="cellIs" dxfId="313" priority="20" operator="greaterThan">
      <formula>0</formula>
    </cfRule>
    <cfRule type="cellIs" dxfId="312" priority="21" operator="greaterThan">
      <formula>0</formula>
    </cfRule>
  </conditionalFormatting>
  <conditionalFormatting sqref="C41:E41">
    <cfRule type="cellIs" dxfId="311" priority="16" operator="greaterThan">
      <formula>0</formula>
    </cfRule>
    <cfRule type="cellIs" dxfId="310" priority="17" operator="greaterThan">
      <formula>0</formula>
    </cfRule>
    <cfRule type="cellIs" dxfId="309" priority="18" operator="greaterThan">
      <formula>0</formula>
    </cfRule>
  </conditionalFormatting>
  <conditionalFormatting sqref="C57:E58">
    <cfRule type="cellIs" dxfId="308" priority="14" operator="greaterThan">
      <formula>0</formula>
    </cfRule>
  </conditionalFormatting>
  <conditionalFormatting sqref="C56:E56">
    <cfRule type="cellIs" dxfId="307" priority="15" operator="greaterThan">
      <formula>0</formula>
    </cfRule>
  </conditionalFormatting>
  <conditionalFormatting sqref="C59:E59">
    <cfRule type="cellIs" dxfId="306" priority="13" operator="greaterThan">
      <formula>0</formula>
    </cfRule>
  </conditionalFormatting>
  <conditionalFormatting sqref="C56:E59">
    <cfRule type="cellIs" dxfId="305" priority="10" operator="greaterThan">
      <formula>0</formula>
    </cfRule>
    <cfRule type="cellIs" dxfId="304" priority="11" operator="greaterThan">
      <formula>0</formula>
    </cfRule>
    <cfRule type="cellIs" dxfId="303" priority="12" operator="greaterThan">
      <formula>0</formula>
    </cfRule>
  </conditionalFormatting>
  <conditionalFormatting sqref="C60:E60">
    <cfRule type="cellIs" dxfId="302" priority="9" operator="greaterThan">
      <formula>0</formula>
    </cfRule>
  </conditionalFormatting>
  <conditionalFormatting sqref="E66">
    <cfRule type="cellIs" dxfId="301" priority="4" operator="greaterThan">
      <formula>0</formula>
    </cfRule>
    <cfRule type="cellIs" dxfId="300" priority="8" operator="greaterThan">
      <formula>0</formula>
    </cfRule>
  </conditionalFormatting>
  <conditionalFormatting sqref="C2:C16">
    <cfRule type="cellIs" dxfId="299" priority="7" operator="greaterThan">
      <formula>0</formula>
    </cfRule>
  </conditionalFormatting>
  <conditionalFormatting sqref="C41:E61 C65:E65">
    <cfRule type="cellIs" dxfId="298" priority="6" operator="greaterThan">
      <formula>0</formula>
    </cfRule>
  </conditionalFormatting>
  <conditionalFormatting sqref="C22:E38">
    <cfRule type="cellIs" dxfId="297" priority="3" operator="greaterThan">
      <formula>0</formula>
    </cfRule>
  </conditionalFormatting>
  <conditionalFormatting sqref="C17:C19">
    <cfRule type="cellIs" dxfId="296" priority="2" operator="greaterThan">
      <formula>0</formula>
    </cfRule>
  </conditionalFormatting>
  <conditionalFormatting sqref="C62:E64">
    <cfRule type="cellIs" dxfId="2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666</v>
      </c>
      <c r="C2" s="582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667</v>
      </c>
      <c r="C3" s="583">
        <v>0</v>
      </c>
      <c r="D3" s="1169"/>
      <c r="E3" s="1170"/>
      <c r="F3" s="1171"/>
      <c r="G3" s="412"/>
      <c r="H3" s="420" t="s">
        <v>489</v>
      </c>
      <c r="I3" s="630" t="str">
        <f>IF(AND($C$7+$C$8+$C$11=1,$C$9+$C$10+$C$12=0,C13=1),"ДА","НЕТ")</f>
        <v>НЕТ</v>
      </c>
      <c r="J3" s="325"/>
      <c r="K3" s="326">
        <f>IF(I3="ДА",$C$21*J3,0)</f>
        <v>0</v>
      </c>
      <c r="L3" s="412"/>
    </row>
    <row r="4" spans="1:12" ht="12" customHeight="1">
      <c r="A4" s="412"/>
      <c r="B4" s="659" t="s">
        <v>509</v>
      </c>
      <c r="C4" s="590">
        <v>0</v>
      </c>
      <c r="D4" s="1229" t="s">
        <v>128</v>
      </c>
      <c r="E4" s="1230"/>
      <c r="F4" s="1231"/>
      <c r="G4" s="412"/>
      <c r="H4" s="425" t="s">
        <v>486</v>
      </c>
      <c r="I4" s="631" t="str">
        <f>IF(AND($C$7+$C$8+$C$11=1,$C$9+$C$10+$C$12=0,$C$13=3),"ДА","НЕТ")</f>
        <v>НЕТ</v>
      </c>
      <c r="J4" s="329"/>
      <c r="K4" s="330">
        <f t="shared" ref="K4:K19" si="0">IF(I4="ДА",$C$21*J4,0)</f>
        <v>0</v>
      </c>
      <c r="L4" s="412"/>
    </row>
    <row r="5" spans="1:12" ht="12" customHeight="1">
      <c r="A5" s="412"/>
      <c r="B5" s="660" t="s">
        <v>510</v>
      </c>
      <c r="C5" s="591">
        <v>0</v>
      </c>
      <c r="D5" s="1232"/>
      <c r="E5" s="1233"/>
      <c r="F5" s="1234"/>
      <c r="G5" s="412"/>
      <c r="H5" s="425" t="s">
        <v>591</v>
      </c>
      <c r="I5" s="631" t="str">
        <f>IF(AND($C$7+$C$8+$C$11=1,$C$9+$C$10+$C$12=0,$C$13=3),"ДА","НЕТ")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661" t="s">
        <v>674</v>
      </c>
      <c r="C6" s="589">
        <v>0</v>
      </c>
      <c r="D6" s="1235"/>
      <c r="E6" s="1236"/>
      <c r="F6" s="1237"/>
      <c r="G6" s="412"/>
      <c r="H6" s="425" t="s">
        <v>487</v>
      </c>
      <c r="I6" s="631" t="str">
        <f>IF(AND($C$7+$C$8+$C$11=1,$C$9+$C$10+$C$12=0,$C$13=2),"ДА","НЕТ")</f>
        <v>НЕТ</v>
      </c>
      <c r="J6" s="329"/>
      <c r="K6" s="330">
        <f t="shared" si="0"/>
        <v>0</v>
      </c>
      <c r="L6" s="412"/>
    </row>
    <row r="7" spans="1:12" ht="12" customHeight="1">
      <c r="A7" s="412"/>
      <c r="B7" s="662" t="s">
        <v>498</v>
      </c>
      <c r="C7" s="585">
        <v>0</v>
      </c>
      <c r="D7" s="663" t="s">
        <v>287</v>
      </c>
      <c r="E7" s="664" t="s">
        <v>255</v>
      </c>
      <c r="F7" s="1238" t="s">
        <v>597</v>
      </c>
      <c r="G7" s="412"/>
      <c r="H7" s="425" t="s">
        <v>488</v>
      </c>
      <c r="I7" s="631" t="str">
        <f>IF(AND($C$7+$C$8+$C$11=1,$C$9+$C$10+$C$12=0,$C$13=2),"ДА","НЕТ")</f>
        <v>НЕТ</v>
      </c>
      <c r="J7" s="329"/>
      <c r="K7" s="330">
        <f t="shared" si="0"/>
        <v>0</v>
      </c>
      <c r="L7" s="412"/>
    </row>
    <row r="8" spans="1:12" ht="12" customHeight="1">
      <c r="A8" s="412"/>
      <c r="B8" s="660" t="s">
        <v>499</v>
      </c>
      <c r="C8" s="588">
        <v>0</v>
      </c>
      <c r="D8" s="665" t="s">
        <v>287</v>
      </c>
      <c r="E8" s="666" t="s">
        <v>255</v>
      </c>
      <c r="F8" s="1239"/>
      <c r="G8" s="412"/>
      <c r="H8" s="425" t="s">
        <v>494</v>
      </c>
      <c r="I8" s="631" t="str">
        <f>IF(AND($C$7+$C$8+$C$11=1,$C$9+$C$10+$C$12=0,$C$13=2),"ДА","НЕТ")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662" t="s">
        <v>500</v>
      </c>
      <c r="C9" s="585">
        <v>0</v>
      </c>
      <c r="D9" s="663" t="s">
        <v>287</v>
      </c>
      <c r="E9" s="664" t="s">
        <v>255</v>
      </c>
      <c r="F9" s="1239"/>
      <c r="G9" s="412"/>
      <c r="H9" s="420" t="s">
        <v>590</v>
      </c>
      <c r="I9" s="631" t="str">
        <f>IF(AND($C$7+$C$8+$C$11=1,$C$9+$C$10+$C$12=0,$C$13=1),"ДА","НЕТ")</f>
        <v>НЕТ</v>
      </c>
      <c r="J9" s="325"/>
      <c r="K9" s="326">
        <f t="shared" si="0"/>
        <v>0</v>
      </c>
      <c r="L9" s="412"/>
    </row>
    <row r="10" spans="1:12" ht="12" customHeight="1">
      <c r="A10" s="412"/>
      <c r="B10" s="660" t="s">
        <v>501</v>
      </c>
      <c r="C10" s="588">
        <v>0</v>
      </c>
      <c r="D10" s="665" t="s">
        <v>287</v>
      </c>
      <c r="E10" s="666" t="s">
        <v>255</v>
      </c>
      <c r="F10" s="1239"/>
      <c r="G10" s="412"/>
      <c r="H10" s="420" t="s">
        <v>383</v>
      </c>
      <c r="I10" s="631" t="str">
        <f>IF(AND($C$7+$C$8+$C$11+$C$12=0,$C$9+$C$10=1,$C$13=1),"ДА","НЕТ")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660" t="s">
        <v>587</v>
      </c>
      <c r="C11" s="588">
        <v>0</v>
      </c>
      <c r="D11" s="665" t="s">
        <v>287</v>
      </c>
      <c r="E11" s="666" t="s">
        <v>255</v>
      </c>
      <c r="F11" s="1239"/>
      <c r="G11" s="412"/>
      <c r="H11" s="423" t="s">
        <v>384</v>
      </c>
      <c r="I11" s="631" t="str">
        <f>IF(AND($C$7+$C$8+$C$11+$C$12=0,$C$9+$C$10=1,$C$13=1),"ДА","НЕТ")</f>
        <v>НЕТ</v>
      </c>
      <c r="J11" s="332"/>
      <c r="K11" s="333">
        <f t="shared" si="0"/>
        <v>0</v>
      </c>
      <c r="L11" s="412"/>
    </row>
    <row r="12" spans="1:12" ht="12" customHeight="1" thickBot="1">
      <c r="A12" s="412"/>
      <c r="B12" s="661" t="s">
        <v>588</v>
      </c>
      <c r="C12" s="592">
        <v>0</v>
      </c>
      <c r="D12" s="663" t="s">
        <v>287</v>
      </c>
      <c r="E12" s="664" t="s">
        <v>255</v>
      </c>
      <c r="F12" s="1240"/>
      <c r="G12" s="412"/>
      <c r="H12" s="423" t="s">
        <v>385</v>
      </c>
      <c r="I12" s="631" t="str">
        <f>IF(AND($C$7+$C$8+$C$11+$C$12=0,$C$9+$C$10=1,$C$13=1),"ДА","НЕТ")</f>
        <v>НЕТ</v>
      </c>
      <c r="J12" s="335"/>
      <c r="K12" s="333">
        <f t="shared" si="0"/>
        <v>0</v>
      </c>
      <c r="L12" s="412"/>
    </row>
    <row r="13" spans="1:12" ht="12" customHeight="1" thickBot="1">
      <c r="A13" s="412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12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667" t="s">
        <v>393</v>
      </c>
      <c r="C14" s="586">
        <v>0</v>
      </c>
      <c r="D14" s="668" t="s">
        <v>394</v>
      </c>
      <c r="E14" s="669" t="s">
        <v>395</v>
      </c>
      <c r="F14" s="1223"/>
      <c r="G14" s="412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670" t="s">
        <v>543</v>
      </c>
      <c r="C15" s="584">
        <v>0</v>
      </c>
      <c r="D15" s="671" t="s">
        <v>287</v>
      </c>
      <c r="E15" s="672" t="s">
        <v>255</v>
      </c>
      <c r="F15" s="1224"/>
      <c r="G15" s="412"/>
      <c r="H15" s="420" t="s">
        <v>388</v>
      </c>
      <c r="I15" s="631" t="str">
        <f>IF(AND($C$7+$C$8+$C$11+$C$12=0,$C$9+$C$10=1,$C$13=2),"ДА","НЕТ")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670" t="s">
        <v>358</v>
      </c>
      <c r="C16" s="587">
        <v>0</v>
      </c>
      <c r="D16" s="671" t="s">
        <v>417</v>
      </c>
      <c r="E16" s="672" t="s">
        <v>418</v>
      </c>
      <c r="F16" s="1225"/>
      <c r="G16" s="412"/>
      <c r="H16" s="423" t="s">
        <v>389</v>
      </c>
      <c r="I16" s="631" t="str">
        <f>IF(AND($C$7+$C$8+$C$11+$C$12=0,$C$9+$C$10=1,$C$13=2),"ДА","НЕТ")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662" t="s">
        <v>361</v>
      </c>
      <c r="C17" s="585">
        <v>0</v>
      </c>
      <c r="D17" s="673" t="s">
        <v>287</v>
      </c>
      <c r="E17" s="674" t="s">
        <v>255</v>
      </c>
      <c r="F17" s="1174" t="s">
        <v>597</v>
      </c>
      <c r="G17" s="412"/>
      <c r="H17" s="423" t="s">
        <v>390</v>
      </c>
      <c r="I17" s="631" t="str">
        <f>IF(AND($C$7+$C$8+$C$11+$C$12=0,$C$9+$C$10=1,$C$13=2),"ДА","НЕТ")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660" t="s">
        <v>362</v>
      </c>
      <c r="C18" s="588">
        <v>0</v>
      </c>
      <c r="D18" s="665" t="s">
        <v>287</v>
      </c>
      <c r="E18" s="666" t="s">
        <v>255</v>
      </c>
      <c r="F18" s="1175"/>
      <c r="G18" s="412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660" t="s">
        <v>467</v>
      </c>
      <c r="C19" s="588">
        <v>0</v>
      </c>
      <c r="D19" s="665" t="s">
        <v>287</v>
      </c>
      <c r="E19" s="666" t="s">
        <v>255</v>
      </c>
      <c r="F19" s="1175"/>
      <c r="G19" s="412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660" t="s">
        <v>466</v>
      </c>
      <c r="C20" s="588">
        <v>0</v>
      </c>
      <c r="D20" s="675" t="s">
        <v>287</v>
      </c>
      <c r="E20" s="676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670" t="s">
        <v>123</v>
      </c>
      <c r="C21" s="584">
        <v>0</v>
      </c>
      <c r="D21" s="1226" t="s">
        <v>675</v>
      </c>
      <c r="E21" s="1227"/>
      <c r="F21" s="1228"/>
      <c r="G21" s="412"/>
      <c r="H21" s="412"/>
      <c r="I21" s="412"/>
      <c r="J21" s="412"/>
      <c r="K21" s="412"/>
      <c r="L21" s="412"/>
    </row>
    <row r="22" spans="1:12" ht="12" customHeight="1" thickBot="1">
      <c r="A22" s="412"/>
      <c r="B22" s="677" t="s">
        <v>502</v>
      </c>
      <c r="C22" s="589">
        <v>0</v>
      </c>
      <c r="D22" s="1226" t="s">
        <v>540</v>
      </c>
      <c r="E22" s="1227"/>
      <c r="F22" s="1228"/>
      <c r="G22" s="412"/>
      <c r="H22" s="412"/>
      <c r="I22" s="412"/>
      <c r="J22" s="412"/>
      <c r="K22" s="412"/>
      <c r="L22" s="412"/>
    </row>
    <row r="23" spans="1:12" ht="12" customHeight="1">
      <c r="A23" s="412"/>
      <c r="B23" s="736" t="s">
        <v>147</v>
      </c>
      <c r="C23" s="471">
        <v>0</v>
      </c>
      <c r="D23" s="1178" t="s">
        <v>686</v>
      </c>
      <c r="E23" s="1178"/>
      <c r="F23" s="1179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737" t="s">
        <v>146</v>
      </c>
      <c r="C24" s="470">
        <v>0</v>
      </c>
      <c r="D24" s="1184" t="s">
        <v>687</v>
      </c>
      <c r="E24" s="1184"/>
      <c r="F24" s="1185"/>
      <c r="G24" s="412"/>
      <c r="H24" s="412"/>
      <c r="I24" s="412"/>
      <c r="J24" s="412"/>
      <c r="K24" s="412"/>
      <c r="L24" s="412"/>
    </row>
    <row r="25" spans="1:12" ht="12" customHeight="1" thickBot="1">
      <c r="A25" s="412"/>
      <c r="B25" s="678"/>
      <c r="C25" s="678"/>
      <c r="D25" s="678"/>
      <c r="E25" s="678"/>
      <c r="F25" s="647"/>
      <c r="G25" s="412"/>
      <c r="H25" s="412"/>
      <c r="I25" s="412"/>
      <c r="J25" s="412"/>
      <c r="K25" s="412"/>
      <c r="L25" s="412"/>
    </row>
    <row r="26" spans="1:12" ht="12" customHeight="1" thickBot="1">
      <c r="A26" s="412"/>
      <c r="B26" s="679" t="s">
        <v>5</v>
      </c>
      <c r="C26" s="680" t="s">
        <v>0</v>
      </c>
      <c r="D26" s="681" t="s">
        <v>4</v>
      </c>
      <c r="E26" s="682" t="s">
        <v>8</v>
      </c>
      <c r="F26" s="683"/>
      <c r="G26" s="412"/>
      <c r="H26" s="412"/>
      <c r="I26" s="412"/>
      <c r="J26" s="412"/>
      <c r="K26" s="412"/>
      <c r="L26" s="412"/>
    </row>
    <row r="27" spans="1:12" ht="12" customHeight="1">
      <c r="A27" s="412"/>
      <c r="B27" s="684" t="s">
        <v>563</v>
      </c>
      <c r="C27" s="281">
        <f>C19*C21*(C4+C5+C6)</f>
        <v>0</v>
      </c>
      <c r="D27" s="273">
        <v>1</v>
      </c>
      <c r="E27" s="279">
        <f t="shared" ref="E27:E73" si="1">C27*D27</f>
        <v>0</v>
      </c>
      <c r="F27" s="685"/>
      <c r="G27" s="412"/>
      <c r="H27" s="412"/>
      <c r="I27" s="412"/>
      <c r="J27" s="412"/>
      <c r="K27" s="412"/>
      <c r="L27" s="412"/>
    </row>
    <row r="28" spans="1:12" ht="12" customHeight="1">
      <c r="A28" s="412"/>
      <c r="B28" s="686" t="s">
        <v>564</v>
      </c>
      <c r="C28" s="274">
        <f>C20*C21*(C4+C5+C6)</f>
        <v>0</v>
      </c>
      <c r="D28" s="270"/>
      <c r="E28" s="279">
        <f t="shared" si="1"/>
        <v>0</v>
      </c>
      <c r="F28" s="412"/>
      <c r="G28" s="412"/>
      <c r="H28" s="412"/>
      <c r="I28" s="412"/>
      <c r="J28" s="412"/>
      <c r="K28" s="412"/>
      <c r="L28" s="412"/>
    </row>
    <row r="29" spans="1:12" ht="12" customHeight="1">
      <c r="A29" s="412"/>
      <c r="B29" s="686" t="s">
        <v>117</v>
      </c>
      <c r="C29" s="274">
        <f>(C17+C18)*2*(C4+C5+C6)*C21</f>
        <v>0</v>
      </c>
      <c r="D29" s="270"/>
      <c r="E29" s="279">
        <f t="shared" si="1"/>
        <v>0</v>
      </c>
      <c r="F29" s="412"/>
      <c r="G29" s="412"/>
      <c r="H29" s="412"/>
      <c r="I29" s="412"/>
      <c r="J29" s="412"/>
      <c r="K29" s="412"/>
      <c r="L29" s="412"/>
    </row>
    <row r="30" spans="1:12" ht="12" customHeight="1">
      <c r="A30" s="412"/>
      <c r="B30" s="687" t="s">
        <v>420</v>
      </c>
      <c r="C30" s="275">
        <f>IF(AND(C7+C8+C11&gt;0,C9+C10+C12=0,C16=0),C21*2,0)</f>
        <v>0</v>
      </c>
      <c r="D30" s="264"/>
      <c r="E30" s="279">
        <f t="shared" si="1"/>
        <v>0</v>
      </c>
      <c r="F30" s="412"/>
      <c r="G30" s="412"/>
      <c r="H30" s="412"/>
      <c r="I30" s="412"/>
      <c r="J30" s="412"/>
      <c r="K30" s="412"/>
      <c r="L30" s="412"/>
    </row>
    <row r="31" spans="1:12" ht="12" customHeight="1">
      <c r="A31" s="412"/>
      <c r="B31" s="687" t="s">
        <v>421</v>
      </c>
      <c r="C31" s="276">
        <f>IF(AND(C7+C8+C11&gt;0,C9+C10+C12=0,C16=1),C21*2,0)</f>
        <v>0</v>
      </c>
      <c r="D31" s="266"/>
      <c r="E31" s="279">
        <f t="shared" si="1"/>
        <v>0</v>
      </c>
      <c r="F31" s="412"/>
      <c r="G31" s="412"/>
      <c r="H31" s="412"/>
      <c r="I31" s="412"/>
      <c r="J31" s="412"/>
      <c r="K31" s="412"/>
      <c r="L31" s="412"/>
    </row>
    <row r="32" spans="1:12" ht="12" customHeight="1">
      <c r="A32" s="412"/>
      <c r="B32" s="687" t="s">
        <v>420</v>
      </c>
      <c r="C32" s="275">
        <f>IF(AND(C7+C8+C11=0,C9+C10+C12&gt;0,C16=0),C21,0)</f>
        <v>0</v>
      </c>
      <c r="D32" s="264"/>
      <c r="E32" s="279">
        <f t="shared" si="1"/>
        <v>0</v>
      </c>
      <c r="F32" s="412"/>
      <c r="G32" s="412"/>
      <c r="H32" s="412"/>
      <c r="I32" s="412"/>
      <c r="J32" s="412"/>
      <c r="K32" s="412"/>
      <c r="L32" s="412"/>
    </row>
    <row r="33" spans="1:12" ht="12" customHeight="1">
      <c r="A33" s="412"/>
      <c r="B33" s="687" t="s">
        <v>421</v>
      </c>
      <c r="C33" s="276">
        <f>IF(AND(C7+C8+C11=0,C9+C10+C12&gt;0,C16=1),C21,0)</f>
        <v>0</v>
      </c>
      <c r="D33" s="266"/>
      <c r="E33" s="279">
        <f t="shared" si="1"/>
        <v>0</v>
      </c>
      <c r="F33" s="412"/>
      <c r="G33" s="412"/>
      <c r="H33" s="412"/>
      <c r="I33" s="412"/>
      <c r="J33" s="412"/>
      <c r="K33" s="412"/>
      <c r="L33" s="412"/>
    </row>
    <row r="34" spans="1:12" ht="12" customHeight="1">
      <c r="A34" s="412"/>
      <c r="B34" s="687" t="s">
        <v>513</v>
      </c>
      <c r="C34" s="275">
        <f>IF(AND(C7+C8+C11&gt;0,C9+C10+C12=0,C16=0),(((C4+C5+C6)-1)+C22)*C21,0)</f>
        <v>0</v>
      </c>
      <c r="D34" s="264"/>
      <c r="E34" s="279">
        <f t="shared" si="1"/>
        <v>0</v>
      </c>
      <c r="F34" s="412"/>
      <c r="G34" s="412"/>
      <c r="H34" s="412"/>
      <c r="I34" s="412"/>
      <c r="J34" s="412"/>
      <c r="K34" s="412"/>
      <c r="L34" s="412"/>
    </row>
    <row r="35" spans="1:12" ht="12" customHeight="1">
      <c r="A35" s="412"/>
      <c r="B35" s="687" t="s">
        <v>512</v>
      </c>
      <c r="C35" s="276">
        <f>IF(AND(C7+C8+C11&gt;0,C9+C10+C12=0,C16=1),(((C4+C5+C6)-1)+C22)*C21,0)</f>
        <v>0</v>
      </c>
      <c r="D35" s="266"/>
      <c r="E35" s="279">
        <f t="shared" si="1"/>
        <v>0</v>
      </c>
      <c r="F35" s="412"/>
      <c r="G35" s="412"/>
      <c r="H35" s="412"/>
      <c r="I35" s="412"/>
      <c r="J35" s="412"/>
      <c r="K35" s="412"/>
      <c r="L35" s="412"/>
    </row>
    <row r="36" spans="1:12" ht="12" customHeight="1">
      <c r="A36" s="412"/>
      <c r="B36" s="687" t="s">
        <v>513</v>
      </c>
      <c r="C36" s="275">
        <f>IF(AND(C7+C8+C11=0,C9+C10+C12&gt;0,C16=0),((C4+C5+C6)+C22)*C21,0)</f>
        <v>0</v>
      </c>
      <c r="D36" s="264"/>
      <c r="E36" s="279">
        <f t="shared" si="1"/>
        <v>0</v>
      </c>
      <c r="F36" s="530"/>
      <c r="G36" s="412"/>
      <c r="H36" s="412"/>
      <c r="I36" s="412"/>
      <c r="J36" s="412"/>
      <c r="K36" s="412"/>
      <c r="L36" s="412"/>
    </row>
    <row r="37" spans="1:12" ht="12" customHeight="1">
      <c r="A37" s="412"/>
      <c r="B37" s="687" t="s">
        <v>512</v>
      </c>
      <c r="C37" s="276">
        <f>IF(AND(C7+C8+C11=0,C9+C10+C12&gt;0,C16=1),((C4+C5+C6)+C22)*C21,0)</f>
        <v>0</v>
      </c>
      <c r="D37" s="266"/>
      <c r="E37" s="279">
        <f t="shared" si="1"/>
        <v>0</v>
      </c>
      <c r="F37" s="688"/>
      <c r="G37" s="412"/>
      <c r="H37" s="412"/>
      <c r="I37" s="412"/>
      <c r="J37" s="412"/>
      <c r="K37" s="412"/>
      <c r="L37" s="412"/>
    </row>
    <row r="38" spans="1:12" ht="12" customHeight="1">
      <c r="A38" s="412"/>
      <c r="B38" s="686" t="s">
        <v>642</v>
      </c>
      <c r="C38" s="276">
        <f>IF(C15=0,C21*2,0)</f>
        <v>0</v>
      </c>
      <c r="D38" s="266"/>
      <c r="E38" s="279">
        <f t="shared" si="1"/>
        <v>0</v>
      </c>
      <c r="F38" s="688"/>
      <c r="G38" s="412"/>
      <c r="H38" s="412"/>
      <c r="I38" s="412"/>
      <c r="J38" s="412"/>
      <c r="K38" s="412"/>
      <c r="L38" s="412"/>
    </row>
    <row r="39" spans="1:12" ht="12" customHeight="1">
      <c r="A39" s="412"/>
      <c r="B39" s="687" t="s">
        <v>644</v>
      </c>
      <c r="C39" s="275">
        <f>C15*C21*(C4+C5+C6+1+C22)</f>
        <v>0</v>
      </c>
      <c r="D39" s="268"/>
      <c r="E39" s="279">
        <f t="shared" si="1"/>
        <v>0</v>
      </c>
      <c r="F39" s="688"/>
      <c r="G39" s="412"/>
      <c r="H39" s="412"/>
      <c r="I39" s="412"/>
      <c r="J39" s="412"/>
      <c r="K39" s="412"/>
      <c r="L39" s="412"/>
    </row>
    <row r="40" spans="1:12" ht="12" customHeight="1">
      <c r="A40" s="412"/>
      <c r="B40" s="687" t="s">
        <v>514</v>
      </c>
      <c r="C40" s="275">
        <f>((C4+C5+C6)-1)*C21</f>
        <v>0</v>
      </c>
      <c r="D40" s="264"/>
      <c r="E40" s="279">
        <f t="shared" si="1"/>
        <v>0</v>
      </c>
      <c r="F40" s="688"/>
      <c r="G40" s="412"/>
      <c r="H40" s="412"/>
      <c r="I40" s="412"/>
      <c r="J40" s="412"/>
      <c r="K40" s="412"/>
      <c r="L40" s="412"/>
    </row>
    <row r="41" spans="1:12" ht="12" customHeight="1">
      <c r="A41" s="412"/>
      <c r="B41" s="689" t="s">
        <v>506</v>
      </c>
      <c r="C41" s="277">
        <f>((C4+C5+C6)-1+C22)*C21</f>
        <v>0</v>
      </c>
      <c r="D41" s="264"/>
      <c r="E41" s="279">
        <f t="shared" si="1"/>
        <v>0</v>
      </c>
      <c r="F41" s="688"/>
      <c r="G41" s="412"/>
      <c r="H41" s="412"/>
      <c r="I41" s="412"/>
      <c r="J41" s="412"/>
      <c r="K41" s="412"/>
      <c r="L41" s="412"/>
    </row>
    <row r="42" spans="1:12" ht="12" customHeight="1">
      <c r="A42" s="412"/>
      <c r="B42" s="689" t="s">
        <v>515</v>
      </c>
      <c r="C42" s="277">
        <f>((C4+C5+C6)-1+C22)*C21</f>
        <v>0</v>
      </c>
      <c r="D42" s="264"/>
      <c r="E42" s="279">
        <f t="shared" si="1"/>
        <v>0</v>
      </c>
      <c r="F42" s="688"/>
      <c r="G42" s="412"/>
      <c r="H42" s="412"/>
      <c r="I42" s="412"/>
      <c r="J42" s="412"/>
      <c r="K42" s="412"/>
      <c r="L42" s="412"/>
    </row>
    <row r="43" spans="1:12" ht="12" customHeight="1">
      <c r="A43" s="412"/>
      <c r="B43" s="689" t="s">
        <v>508</v>
      </c>
      <c r="C43" s="277">
        <f>C22*C21</f>
        <v>0</v>
      </c>
      <c r="D43" s="264"/>
      <c r="E43" s="279">
        <f t="shared" si="1"/>
        <v>0</v>
      </c>
      <c r="F43" s="688"/>
      <c r="G43" s="412"/>
      <c r="H43" s="412"/>
      <c r="I43" s="412"/>
      <c r="J43" s="412"/>
      <c r="K43" s="412"/>
      <c r="L43" s="412"/>
    </row>
    <row r="44" spans="1:12" ht="12" customHeight="1">
      <c r="A44" s="412"/>
      <c r="B44" s="687" t="s">
        <v>505</v>
      </c>
      <c r="C44" s="275">
        <f>((C4+C5+C6)-1)*C21</f>
        <v>0</v>
      </c>
      <c r="D44" s="264"/>
      <c r="E44" s="279">
        <f t="shared" si="1"/>
        <v>0</v>
      </c>
      <c r="F44" s="688"/>
      <c r="G44" s="412"/>
      <c r="H44" s="412"/>
      <c r="I44" s="412"/>
      <c r="J44" s="412"/>
      <c r="K44" s="412"/>
      <c r="L44" s="412"/>
    </row>
    <row r="45" spans="1:12" ht="12" customHeight="1">
      <c r="A45" s="412"/>
      <c r="B45" s="687" t="s">
        <v>432</v>
      </c>
      <c r="C45" s="274">
        <f>IF(C5+C6=0,(C40+C44+C64),0)</f>
        <v>0</v>
      </c>
      <c r="D45" s="265"/>
      <c r="E45" s="279">
        <f t="shared" si="1"/>
        <v>0</v>
      </c>
      <c r="F45" s="688"/>
      <c r="G45" s="412"/>
      <c r="H45" s="412"/>
      <c r="I45" s="412"/>
      <c r="J45" s="412"/>
      <c r="K45" s="412"/>
      <c r="L45" s="412"/>
    </row>
    <row r="46" spans="1:12" ht="12" customHeight="1">
      <c r="A46" s="412"/>
      <c r="B46" s="687" t="s">
        <v>433</v>
      </c>
      <c r="C46" s="275">
        <f>IF(AND(C5+C6=0,C4&gt;0),(C40+C44+C64)+1,0)</f>
        <v>0</v>
      </c>
      <c r="D46" s="264"/>
      <c r="E46" s="279">
        <f t="shared" si="1"/>
        <v>0</v>
      </c>
      <c r="F46" s="688"/>
      <c r="G46" s="412"/>
      <c r="H46" s="412"/>
      <c r="I46" s="412"/>
      <c r="J46" s="412"/>
      <c r="K46" s="412"/>
      <c r="L46" s="412"/>
    </row>
    <row r="47" spans="1:12" ht="12" customHeight="1">
      <c r="A47" s="412"/>
      <c r="B47" s="687" t="s">
        <v>600</v>
      </c>
      <c r="C47" s="275">
        <f>IF(AND(C4+C5=0,C6&gt;0),(C40+C44+C64),0)</f>
        <v>0</v>
      </c>
      <c r="D47" s="264"/>
      <c r="E47" s="279">
        <f>C47*D47</f>
        <v>0</v>
      </c>
      <c r="F47" s="688"/>
      <c r="G47" s="412"/>
      <c r="H47" s="412"/>
      <c r="I47" s="412"/>
      <c r="J47" s="412"/>
      <c r="K47" s="412"/>
      <c r="L47" s="412"/>
    </row>
    <row r="48" spans="1:12" ht="12" customHeight="1">
      <c r="A48" s="412"/>
      <c r="B48" s="687" t="s">
        <v>434</v>
      </c>
      <c r="C48" s="275">
        <f>IF(AND(C4=0,(C5+C6)&gt;0),(C40+C44+C64),0)</f>
        <v>0</v>
      </c>
      <c r="D48" s="264"/>
      <c r="E48" s="279">
        <f t="shared" si="1"/>
        <v>0</v>
      </c>
      <c r="F48" s="688"/>
      <c r="G48" s="412"/>
      <c r="H48" s="412"/>
      <c r="I48" s="412"/>
      <c r="J48" s="412"/>
      <c r="K48" s="412"/>
      <c r="L48" s="412"/>
    </row>
    <row r="49" spans="1:12" ht="12" customHeight="1">
      <c r="A49" s="412"/>
      <c r="B49" s="686" t="s">
        <v>474</v>
      </c>
      <c r="C49" s="275">
        <f>C2*C21</f>
        <v>0</v>
      </c>
      <c r="D49" s="264"/>
      <c r="E49" s="279">
        <f t="shared" si="1"/>
        <v>0</v>
      </c>
      <c r="F49" s="412"/>
      <c r="G49" s="412"/>
      <c r="H49" s="412"/>
      <c r="I49" s="412"/>
      <c r="J49" s="412"/>
      <c r="K49" s="412"/>
      <c r="L49" s="412"/>
    </row>
    <row r="50" spans="1:12" ht="12" customHeight="1">
      <c r="A50" s="412"/>
      <c r="B50" s="686" t="s">
        <v>474</v>
      </c>
      <c r="C50" s="275">
        <f>C2*C19*C21</f>
        <v>0</v>
      </c>
      <c r="D50" s="268"/>
      <c r="E50" s="279">
        <f t="shared" si="1"/>
        <v>0</v>
      </c>
      <c r="F50" s="412"/>
      <c r="G50" s="412"/>
      <c r="H50" s="412"/>
      <c r="I50" s="412"/>
      <c r="J50" s="412"/>
      <c r="K50" s="412"/>
      <c r="L50" s="412"/>
    </row>
    <row r="51" spans="1:12" ht="12" customHeight="1">
      <c r="A51" s="412"/>
      <c r="B51" s="687" t="s">
        <v>363</v>
      </c>
      <c r="C51" s="275">
        <f>C18*2*C2*C21</f>
        <v>0</v>
      </c>
      <c r="D51" s="268"/>
      <c r="E51" s="279">
        <f t="shared" si="1"/>
        <v>0</v>
      </c>
      <c r="F51" s="412"/>
      <c r="G51" s="412"/>
      <c r="H51" s="412"/>
      <c r="I51" s="412"/>
      <c r="J51" s="412"/>
      <c r="K51" s="412"/>
      <c r="L51" s="412"/>
    </row>
    <row r="52" spans="1:12" ht="12" customHeight="1">
      <c r="A52" s="412"/>
      <c r="B52" s="687" t="s">
        <v>477</v>
      </c>
      <c r="C52" s="275">
        <f>(C17+C20)*C2</f>
        <v>0</v>
      </c>
      <c r="D52" s="264"/>
      <c r="E52" s="279">
        <f t="shared" si="1"/>
        <v>0</v>
      </c>
      <c r="F52" s="412"/>
      <c r="G52" s="412"/>
      <c r="H52" s="412"/>
      <c r="I52" s="412"/>
      <c r="J52" s="412"/>
      <c r="K52" s="412"/>
      <c r="L52" s="412"/>
    </row>
    <row r="53" spans="1:12" ht="12" customHeight="1">
      <c r="A53" s="412"/>
      <c r="B53" s="687" t="s">
        <v>467</v>
      </c>
      <c r="C53" s="275">
        <f>C21*C2*C19</f>
        <v>0</v>
      </c>
      <c r="D53" s="264"/>
      <c r="E53" s="279">
        <f t="shared" si="1"/>
        <v>0</v>
      </c>
      <c r="F53" s="690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87" t="s">
        <v>645</v>
      </c>
      <c r="C54" s="275">
        <f>C20*C2*C21</f>
        <v>0</v>
      </c>
      <c r="D54" s="268"/>
      <c r="E54" s="279">
        <f t="shared" si="1"/>
        <v>0</v>
      </c>
      <c r="F54" s="690"/>
      <c r="G54" s="412"/>
      <c r="H54" s="412"/>
      <c r="I54" s="412"/>
      <c r="J54" s="412"/>
      <c r="K54" s="412"/>
      <c r="L54" s="412"/>
    </row>
    <row r="55" spans="1:12" ht="12" customHeight="1">
      <c r="A55" s="412"/>
      <c r="B55" s="687" t="s">
        <v>364</v>
      </c>
      <c r="C55" s="275">
        <f>C2*C17*C21</f>
        <v>0</v>
      </c>
      <c r="D55" s="268"/>
      <c r="E55" s="279">
        <f t="shared" si="1"/>
        <v>0</v>
      </c>
      <c r="F55" s="690"/>
      <c r="G55" s="412"/>
      <c r="H55" s="412"/>
      <c r="I55" s="412"/>
      <c r="J55" s="412"/>
      <c r="K55" s="412"/>
      <c r="L55" s="412"/>
    </row>
    <row r="56" spans="1:12" ht="12" customHeight="1">
      <c r="A56" s="412"/>
      <c r="B56" s="687" t="s">
        <v>365</v>
      </c>
      <c r="C56" s="282">
        <f>C2*C18*C21</f>
        <v>0</v>
      </c>
      <c r="D56" s="268"/>
      <c r="E56" s="279">
        <f t="shared" si="1"/>
        <v>0</v>
      </c>
      <c r="F56" s="690"/>
      <c r="G56" s="412"/>
      <c r="H56" s="412"/>
      <c r="I56" s="412"/>
      <c r="J56" s="412"/>
      <c r="K56" s="412"/>
      <c r="L56" s="412"/>
    </row>
    <row r="57" spans="1:12" ht="12" customHeight="1">
      <c r="A57" s="412"/>
      <c r="B57" s="687" t="s">
        <v>424</v>
      </c>
      <c r="C57" s="276">
        <f>C39*2</f>
        <v>0</v>
      </c>
      <c r="D57" s="269"/>
      <c r="E57" s="279">
        <f t="shared" si="1"/>
        <v>0</v>
      </c>
      <c r="F57" s="690"/>
      <c r="G57" s="412"/>
      <c r="H57" s="412"/>
      <c r="I57" s="412"/>
      <c r="J57" s="412"/>
      <c r="K57" s="412"/>
      <c r="L57" s="412"/>
    </row>
    <row r="58" spans="1:12" ht="12" customHeight="1">
      <c r="A58" s="412"/>
      <c r="B58" s="687" t="s">
        <v>643</v>
      </c>
      <c r="C58" s="276">
        <f>IF(C15=1,C21*2,0)</f>
        <v>0</v>
      </c>
      <c r="D58" s="269"/>
      <c r="E58" s="279">
        <f t="shared" si="1"/>
        <v>0</v>
      </c>
      <c r="F58" s="690"/>
      <c r="G58" s="412"/>
      <c r="H58" s="412"/>
      <c r="I58" s="412"/>
      <c r="J58" s="412"/>
      <c r="K58" s="412"/>
      <c r="L58" s="412"/>
    </row>
    <row r="59" spans="1:12" ht="12" customHeight="1">
      <c r="A59" s="412"/>
      <c r="B59" s="687" t="s">
        <v>641</v>
      </c>
      <c r="C59" s="275">
        <f>EVEN(ROUNDDOWN(IF(C15=1,C2*C21/0.5,0),0))</f>
        <v>0</v>
      </c>
      <c r="D59" s="268"/>
      <c r="E59" s="279">
        <f t="shared" si="1"/>
        <v>0</v>
      </c>
      <c r="F59" s="690"/>
      <c r="G59" s="412"/>
      <c r="H59" s="412"/>
      <c r="I59" s="412"/>
      <c r="J59" s="412"/>
      <c r="K59" s="412"/>
      <c r="L59" s="412"/>
    </row>
    <row r="60" spans="1:12" ht="12" customHeight="1">
      <c r="A60" s="412"/>
      <c r="B60" s="686" t="s">
        <v>676</v>
      </c>
      <c r="C60" s="282">
        <f>C15*C2*C21</f>
        <v>0</v>
      </c>
      <c r="D60" s="268"/>
      <c r="E60" s="279">
        <f t="shared" si="1"/>
        <v>0</v>
      </c>
      <c r="F60" s="690"/>
      <c r="G60" s="412"/>
      <c r="H60" s="412"/>
      <c r="I60" s="412"/>
      <c r="J60" s="412"/>
      <c r="K60" s="412"/>
      <c r="L60" s="412"/>
    </row>
    <row r="61" spans="1:12" ht="12" customHeight="1">
      <c r="A61" s="412"/>
      <c r="B61" s="686" t="s">
        <v>461</v>
      </c>
      <c r="C61" s="282">
        <f>IF(AND(C4&gt;0,C5+C6=0),C2*C21,0)</f>
        <v>0</v>
      </c>
      <c r="D61" s="264"/>
      <c r="E61" s="279">
        <f t="shared" si="1"/>
        <v>0</v>
      </c>
      <c r="F61" s="690"/>
      <c r="G61" s="412"/>
      <c r="H61" s="412"/>
      <c r="I61" s="412"/>
      <c r="J61" s="412"/>
      <c r="K61" s="412"/>
      <c r="L61" s="412"/>
    </row>
    <row r="62" spans="1:12" ht="12" customHeight="1">
      <c r="A62" s="412"/>
      <c r="B62" s="686" t="s">
        <v>462</v>
      </c>
      <c r="C62" s="282">
        <f>IF(AND(C5&gt;0,C4+C6=0),C2*C21,0)</f>
        <v>0</v>
      </c>
      <c r="D62" s="264"/>
      <c r="E62" s="279">
        <f t="shared" si="1"/>
        <v>0</v>
      </c>
      <c r="F62" s="690"/>
      <c r="G62" s="412"/>
      <c r="H62" s="412"/>
      <c r="I62" s="412"/>
      <c r="J62" s="412"/>
      <c r="K62" s="412"/>
      <c r="L62" s="412"/>
    </row>
    <row r="63" spans="1:12" ht="12" customHeight="1">
      <c r="A63" s="412"/>
      <c r="B63" s="686" t="s">
        <v>601</v>
      </c>
      <c r="C63" s="282">
        <f>IF(AND(C6&gt;0,(C4+C5)=0),C2*C21,0)</f>
        <v>0</v>
      </c>
      <c r="D63" s="264"/>
      <c r="E63" s="279">
        <f>C63*D63</f>
        <v>0</v>
      </c>
      <c r="F63" s="690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87" t="s">
        <v>647</v>
      </c>
      <c r="C64" s="282">
        <f>C21</f>
        <v>0</v>
      </c>
      <c r="D64" s="264"/>
      <c r="E64" s="279">
        <f t="shared" si="1"/>
        <v>0</v>
      </c>
      <c r="F64" s="690"/>
      <c r="G64" s="412"/>
      <c r="H64" s="412"/>
      <c r="I64" s="412"/>
      <c r="J64" s="412"/>
      <c r="K64" s="412"/>
      <c r="L64" s="412"/>
    </row>
    <row r="65" spans="1:12" ht="12" customHeight="1">
      <c r="A65" s="412"/>
      <c r="B65" s="459" t="s">
        <v>602</v>
      </c>
      <c r="C65" s="361">
        <f>C11*C21</f>
        <v>0</v>
      </c>
      <c r="D65" s="355"/>
      <c r="E65" s="351">
        <f t="shared" si="1"/>
        <v>0</v>
      </c>
      <c r="F65" s="690"/>
      <c r="G65" s="412"/>
      <c r="H65" s="412"/>
      <c r="I65" s="412"/>
      <c r="J65" s="412"/>
      <c r="K65" s="412"/>
      <c r="L65" s="412"/>
    </row>
    <row r="66" spans="1:12" ht="12" customHeight="1">
      <c r="A66" s="412"/>
      <c r="B66" s="459" t="s">
        <v>603</v>
      </c>
      <c r="C66" s="361">
        <f>C12*C21</f>
        <v>0</v>
      </c>
      <c r="D66" s="355"/>
      <c r="E66" s="351">
        <f t="shared" si="1"/>
        <v>0</v>
      </c>
      <c r="F66" s="690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91" t="s">
        <v>378</v>
      </c>
      <c r="C67" s="282">
        <f>C7*C21</f>
        <v>0</v>
      </c>
      <c r="D67" s="264"/>
      <c r="E67" s="279">
        <f t="shared" si="1"/>
        <v>0</v>
      </c>
      <c r="F67" s="412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89" t="s">
        <v>435</v>
      </c>
      <c r="C68" s="282">
        <f>C9*C21</f>
        <v>0</v>
      </c>
      <c r="D68" s="264"/>
      <c r="E68" s="279">
        <f t="shared" si="1"/>
        <v>0</v>
      </c>
      <c r="F68" s="412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89" t="s">
        <v>436</v>
      </c>
      <c r="C69" s="282">
        <f>C8*C21</f>
        <v>0</v>
      </c>
      <c r="D69" s="264"/>
      <c r="E69" s="279">
        <f t="shared" si="1"/>
        <v>0</v>
      </c>
      <c r="F69" s="412"/>
      <c r="G69" s="412"/>
      <c r="H69" s="412"/>
      <c r="I69" s="412"/>
      <c r="J69" s="412"/>
      <c r="K69" s="412"/>
      <c r="L69" s="412"/>
    </row>
    <row r="70" spans="1:12" ht="12" customHeight="1">
      <c r="A70" s="412"/>
      <c r="B70" s="779" t="s">
        <v>682</v>
      </c>
      <c r="C70" s="277">
        <f>IF(C4+C5+C6&gt;0,C4+C5+C6-1,0)</f>
        <v>0</v>
      </c>
      <c r="D70" s="780"/>
      <c r="E70" s="781">
        <f t="shared" si="1"/>
        <v>0</v>
      </c>
      <c r="F70" s="412"/>
      <c r="G70" s="412"/>
      <c r="H70" s="412"/>
      <c r="I70" s="412"/>
      <c r="J70" s="412"/>
      <c r="K70" s="412"/>
      <c r="L70" s="412"/>
    </row>
    <row r="71" spans="1:12" ht="12" customHeight="1">
      <c r="A71" s="412"/>
      <c r="B71" s="532" t="s">
        <v>145</v>
      </c>
      <c r="C71" s="513">
        <f>C24</f>
        <v>0</v>
      </c>
      <c r="D71" s="529"/>
      <c r="E71" s="407">
        <f t="shared" si="1"/>
        <v>0</v>
      </c>
      <c r="F71" s="412"/>
      <c r="G71" s="412"/>
      <c r="H71" s="412"/>
      <c r="I71" s="412"/>
      <c r="J71" s="412"/>
      <c r="K71" s="412"/>
      <c r="L71" s="412"/>
    </row>
    <row r="72" spans="1:12" ht="12" customHeight="1">
      <c r="A72" s="412"/>
      <c r="B72" s="532" t="s">
        <v>148</v>
      </c>
      <c r="C72" s="513">
        <f>C23</f>
        <v>0</v>
      </c>
      <c r="D72" s="529"/>
      <c r="E72" s="407">
        <f t="shared" si="1"/>
        <v>0</v>
      </c>
      <c r="F72" s="412"/>
      <c r="G72" s="412"/>
      <c r="H72" s="412"/>
      <c r="I72" s="412"/>
      <c r="J72" s="412"/>
      <c r="K72" s="412"/>
      <c r="L72" s="412"/>
    </row>
    <row r="73" spans="1:12" ht="12" customHeight="1" thickBot="1">
      <c r="A73" s="412"/>
      <c r="B73" s="692" t="s">
        <v>437</v>
      </c>
      <c r="C73" s="278">
        <f>C10*C21</f>
        <v>0</v>
      </c>
      <c r="D73" s="267"/>
      <c r="E73" s="280">
        <f t="shared" si="1"/>
        <v>0</v>
      </c>
      <c r="F73" s="412"/>
      <c r="G73" s="412"/>
      <c r="H73" s="412"/>
      <c r="I73" s="412"/>
      <c r="J73" s="412"/>
      <c r="K73" s="412"/>
      <c r="L73" s="412"/>
    </row>
    <row r="74" spans="1:12" ht="12" customHeight="1" thickBot="1">
      <c r="A74" s="412"/>
      <c r="B74" s="412"/>
      <c r="C74" s="412"/>
      <c r="D74" s="693" t="s">
        <v>9</v>
      </c>
      <c r="E74" s="694">
        <f>SUMIF(E27:E73,"&gt;0",E27:E73)</f>
        <v>0</v>
      </c>
      <c r="F74" s="412"/>
      <c r="G74" s="412"/>
      <c r="H74" s="412"/>
      <c r="I74" s="412"/>
      <c r="J74" s="412"/>
      <c r="K74" s="412"/>
      <c r="L74" s="412"/>
    </row>
    <row r="75" spans="1:12">
      <c r="A75" s="412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</row>
    <row r="76" spans="1:12">
      <c r="A76" s="412"/>
      <c r="B76" s="412"/>
      <c r="C76" s="412"/>
      <c r="D76" s="412"/>
      <c r="E76" s="412"/>
      <c r="F76" s="412"/>
      <c r="G76" s="412"/>
      <c r="H76" s="412"/>
      <c r="I76" s="412"/>
      <c r="J76" s="412"/>
      <c r="K76" s="412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  <row r="78" spans="1:12">
      <c r="A78" s="412"/>
      <c r="B78" s="412"/>
      <c r="C78" s="412"/>
      <c r="D78" s="412"/>
      <c r="E78" s="412"/>
      <c r="F78" s="412"/>
      <c r="G78" s="412"/>
      <c r="H78" s="412"/>
      <c r="I78" s="412"/>
      <c r="J78" s="412"/>
      <c r="K78" s="412"/>
      <c r="L78" s="412"/>
    </row>
    <row r="79" spans="1:12">
      <c r="A79" s="412"/>
      <c r="B79" s="412"/>
      <c r="C79" s="412"/>
      <c r="D79" s="412"/>
      <c r="E79" s="412"/>
      <c r="F79" s="412"/>
      <c r="G79" s="412"/>
      <c r="H79" s="412"/>
      <c r="I79" s="412"/>
      <c r="J79" s="412"/>
      <c r="K79" s="412"/>
      <c r="L79" s="412"/>
    </row>
    <row r="80" spans="1:12">
      <c r="A80" s="412"/>
      <c r="B80" s="412"/>
      <c r="C80" s="412"/>
      <c r="D80" s="412"/>
      <c r="E80" s="412"/>
      <c r="F80" s="412"/>
      <c r="G80" s="412"/>
      <c r="H80" s="412"/>
      <c r="I80" s="412"/>
      <c r="J80" s="412"/>
      <c r="K80" s="412"/>
      <c r="L80" s="412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294" priority="48" operator="greaterThan">
      <formula>0</formula>
    </cfRule>
  </conditionalFormatting>
  <conditionalFormatting sqref="C13">
    <cfRule type="cellIs" dxfId="293" priority="47" operator="greaterThan">
      <formula>0</formula>
    </cfRule>
  </conditionalFormatting>
  <conditionalFormatting sqref="C27:E70">
    <cfRule type="cellIs" dxfId="292" priority="46" operator="greaterThan">
      <formula>0</formula>
    </cfRule>
  </conditionalFormatting>
  <conditionalFormatting sqref="C66:E66">
    <cfRule type="cellIs" dxfId="291" priority="45" operator="greaterThan">
      <formula>0</formula>
    </cfRule>
  </conditionalFormatting>
  <conditionalFormatting sqref="C65:E66">
    <cfRule type="cellIs" dxfId="290" priority="44" operator="greaterThan">
      <formula>0</formula>
    </cfRule>
  </conditionalFormatting>
  <conditionalFormatting sqref="J3:J19">
    <cfRule type="cellIs" dxfId="289" priority="17" operator="greaterThan">
      <formula>0</formula>
    </cfRule>
    <cfRule type="cellIs" dxfId="288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7" priority="38" operator="equal">
      <formula>"ДА"</formula>
    </cfRule>
    <cfRule type="cellIs" dxfId="286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5" priority="35" operator="equal">
      <formula>"ДА"</formula>
    </cfRule>
    <cfRule type="cellIs" dxfId="284" priority="36" operator="equal">
      <formula>"НЕТ"</formula>
    </cfRule>
  </conditionalFormatting>
  <conditionalFormatting sqref="I5">
    <cfRule type="cellIs" dxfId="283" priority="32" operator="equal">
      <formula>"ДА"</formula>
    </cfRule>
    <cfRule type="cellIs" dxfId="282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81" priority="28" operator="equal">
      <formula>"ДА"</formula>
    </cfRule>
    <cfRule type="cellIs" dxfId="280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279" priority="24" operator="equal">
      <formula>"ДА"</formula>
    </cfRule>
    <cfRule type="cellIs" dxfId="278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277" priority="22" operator="equal">
      <formula>"ДА"</formula>
    </cfRule>
    <cfRule type="cellIs" dxfId="276" priority="23" operator="equal">
      <formula>"НЕТ"</formula>
    </cfRule>
  </conditionalFormatting>
  <conditionalFormatting sqref="I19">
    <cfRule type="cellIs" dxfId="275" priority="20" operator="equal">
      <formula>"ДА"</formula>
    </cfRule>
    <cfRule type="cellIs" dxfId="274" priority="21" operator="equal">
      <formula>"НЕТ"</formula>
    </cfRule>
  </conditionalFormatting>
  <conditionalFormatting sqref="K3:K19">
    <cfRule type="cellIs" dxfId="273" priority="19" operator="greaterThan">
      <formula>0</formula>
    </cfRule>
  </conditionalFormatting>
  <conditionalFormatting sqref="I15:I19">
    <cfRule type="cellIs" dxfId="272" priority="16" operator="equal">
      <formula>"НЕТ"</formula>
    </cfRule>
  </conditionalFormatting>
  <conditionalFormatting sqref="I3:I19">
    <cfRule type="cellIs" dxfId="271" priority="14" operator="equal">
      <formula>"НЕТ"</formula>
    </cfRule>
    <cfRule type="cellIs" dxfId="270" priority="15" operator="equal">
      <formula>"ДА"</formula>
    </cfRule>
  </conditionalFormatting>
  <conditionalFormatting sqref="I3:I18">
    <cfRule type="cellIs" dxfId="269" priority="13" operator="equal">
      <formula>"ДА"</formula>
    </cfRule>
  </conditionalFormatting>
  <conditionalFormatting sqref="I5">
    <cfRule type="cellIs" dxfId="268" priority="10" operator="equal">
      <formula>"ДА"</formula>
    </cfRule>
    <cfRule type="cellIs" dxfId="267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7" operator="equal">
      <formula>"ДА"</formula>
    </cfRule>
    <cfRule type="cellIs" dxfId="265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64" priority="6" operator="greaterThan">
      <formula>0</formula>
    </cfRule>
  </conditionalFormatting>
  <conditionalFormatting sqref="C73:E73">
    <cfRule type="cellIs" dxfId="263" priority="5" operator="greaterThan">
      <formula>0</formula>
    </cfRule>
  </conditionalFormatting>
  <conditionalFormatting sqref="E74">
    <cfRule type="cellIs" dxfId="262" priority="4" operator="greaterThan">
      <formula>0</formula>
    </cfRule>
  </conditionalFormatting>
  <conditionalFormatting sqref="J3:K19">
    <cfRule type="cellIs" dxfId="261" priority="3" operator="greaterThan">
      <formula>0</formula>
    </cfRule>
  </conditionalFormatting>
  <conditionalFormatting sqref="C23:C24">
    <cfRule type="cellIs" dxfId="260" priority="2" operator="greaterThan">
      <formula>0</formula>
    </cfRule>
  </conditionalFormatting>
  <conditionalFormatting sqref="C71:E72">
    <cfRule type="cellIs" dxfId="2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</row>
    <row r="2" spans="1:12" ht="11.25" customHeight="1" thickBot="1">
      <c r="A2" s="446"/>
      <c r="B2" s="414" t="s">
        <v>666</v>
      </c>
      <c r="C2" s="598">
        <v>0</v>
      </c>
      <c r="D2" s="1166" t="s">
        <v>595</v>
      </c>
      <c r="E2" s="1167"/>
      <c r="F2" s="1168"/>
      <c r="G2" s="488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3.5" thickBot="1">
      <c r="A3" s="446"/>
      <c r="B3" s="419" t="s">
        <v>667</v>
      </c>
      <c r="C3" s="466">
        <v>0</v>
      </c>
      <c r="D3" s="1169"/>
      <c r="E3" s="1170"/>
      <c r="F3" s="1171"/>
      <c r="G3" s="488"/>
      <c r="H3" s="420" t="s">
        <v>489</v>
      </c>
      <c r="I3" s="630" t="str">
        <f>IF(AND($C$7+$C$8+$C$9=1,$C$10+$C$11+$C$12=0,C13=1),"ДА","НЕТ")</f>
        <v>НЕТ</v>
      </c>
      <c r="J3" s="325"/>
      <c r="K3" s="326">
        <f>IF(I3="ДА",$C$18*J3,0)</f>
        <v>0</v>
      </c>
      <c r="L3" s="412"/>
    </row>
    <row r="4" spans="1:12" ht="12.75">
      <c r="A4" s="446"/>
      <c r="B4" s="414" t="s">
        <v>509</v>
      </c>
      <c r="C4" s="593">
        <v>0</v>
      </c>
      <c r="D4" s="1229" t="s">
        <v>128</v>
      </c>
      <c r="E4" s="1230"/>
      <c r="F4" s="1231"/>
      <c r="G4" s="446"/>
      <c r="H4" s="425" t="s">
        <v>486</v>
      </c>
      <c r="I4" s="631" t="str">
        <f>IF(AND($C$7+$C$8+$C$9=1,$C$10+$C$11+$C$12=0,C13=3),"ДА","НЕТ")</f>
        <v>НЕТ</v>
      </c>
      <c r="J4" s="329"/>
      <c r="K4" s="330">
        <f t="shared" ref="K4:K19" si="0">IF(I4="ДА",$C$18*J4,0)</f>
        <v>0</v>
      </c>
      <c r="L4" s="412"/>
    </row>
    <row r="5" spans="1:12" ht="12.75">
      <c r="A5" s="446"/>
      <c r="B5" s="424" t="s">
        <v>510</v>
      </c>
      <c r="C5" s="594">
        <v>0</v>
      </c>
      <c r="D5" s="1232"/>
      <c r="E5" s="1233"/>
      <c r="F5" s="1234"/>
      <c r="G5" s="446"/>
      <c r="H5" s="425" t="s">
        <v>591</v>
      </c>
      <c r="I5" s="631" t="str">
        <f>IF(AND($C$7+$C$8+$C$9=1,$C$10+$C$11+$C$12=0,C13=3),"ДА","НЕТ")</f>
        <v>НЕТ</v>
      </c>
      <c r="J5" s="329"/>
      <c r="K5" s="330">
        <f t="shared" si="0"/>
        <v>0</v>
      </c>
      <c r="L5" s="412"/>
    </row>
    <row r="6" spans="1:12" ht="13.5" thickBot="1">
      <c r="A6" s="446"/>
      <c r="B6" s="447" t="s">
        <v>674</v>
      </c>
      <c r="C6" s="595">
        <v>0</v>
      </c>
      <c r="D6" s="1235"/>
      <c r="E6" s="1236"/>
      <c r="F6" s="1237"/>
      <c r="G6" s="446"/>
      <c r="H6" s="425" t="s">
        <v>487</v>
      </c>
      <c r="I6" s="631" t="str">
        <f>IF(AND($C$7+$C$8+$C$9=1,$C$10+$C$11+$C$12=0,C13=2),"ДА","НЕТ")</f>
        <v>НЕТ</v>
      </c>
      <c r="J6" s="329"/>
      <c r="K6" s="330">
        <f t="shared" si="0"/>
        <v>0</v>
      </c>
      <c r="L6" s="412"/>
    </row>
    <row r="7" spans="1:12" ht="12.75">
      <c r="A7" s="446"/>
      <c r="B7" s="414" t="s">
        <v>498</v>
      </c>
      <c r="C7" s="471">
        <v>0</v>
      </c>
      <c r="D7" s="427" t="s">
        <v>287</v>
      </c>
      <c r="E7" s="428" t="s">
        <v>255</v>
      </c>
      <c r="F7" s="1238" t="s">
        <v>597</v>
      </c>
      <c r="G7" s="446"/>
      <c r="H7" s="425" t="s">
        <v>488</v>
      </c>
      <c r="I7" s="631" t="str">
        <f>IF(AND($C$7+$C$8+$C$9=1,$C$10+$C$11+$C$12=0,C13=2),"ДА","НЕТ")</f>
        <v>НЕТ</v>
      </c>
      <c r="J7" s="329"/>
      <c r="K7" s="330">
        <f t="shared" si="0"/>
        <v>0</v>
      </c>
      <c r="L7" s="412"/>
    </row>
    <row r="8" spans="1:12" ht="12.75">
      <c r="A8" s="446"/>
      <c r="B8" s="424" t="s">
        <v>499</v>
      </c>
      <c r="C8" s="468">
        <v>0</v>
      </c>
      <c r="D8" s="431" t="s">
        <v>287</v>
      </c>
      <c r="E8" s="431" t="s">
        <v>255</v>
      </c>
      <c r="F8" s="1239"/>
      <c r="G8" s="446"/>
      <c r="H8" s="425" t="s">
        <v>494</v>
      </c>
      <c r="I8" s="631" t="str">
        <f>IF(AND($C$7+$C$8+$C$9=1,$C$10+$C$11+$C$12=0,C13=2),"ДА","НЕТ")</f>
        <v>НЕТ</v>
      </c>
      <c r="J8" s="329"/>
      <c r="K8" s="330">
        <f t="shared" si="0"/>
        <v>0</v>
      </c>
      <c r="L8" s="412"/>
    </row>
    <row r="9" spans="1:12" ht="12.75">
      <c r="A9" s="446"/>
      <c r="B9" s="424" t="s">
        <v>587</v>
      </c>
      <c r="C9" s="468">
        <v>0</v>
      </c>
      <c r="D9" s="431" t="s">
        <v>287</v>
      </c>
      <c r="E9" s="431" t="s">
        <v>255</v>
      </c>
      <c r="F9" s="1239"/>
      <c r="G9" s="446"/>
      <c r="H9" s="420" t="s">
        <v>590</v>
      </c>
      <c r="I9" s="631" t="str">
        <f>IF(AND($C$7+$C$8+$C$9=1,$C$10+$C$11+$C$12=0,C13=1),"ДА","НЕТ")</f>
        <v>НЕТ</v>
      </c>
      <c r="J9" s="325"/>
      <c r="K9" s="326">
        <f t="shared" si="0"/>
        <v>0</v>
      </c>
      <c r="L9" s="412"/>
    </row>
    <row r="10" spans="1:12" ht="12.75">
      <c r="A10" s="446"/>
      <c r="B10" s="426" t="s">
        <v>500</v>
      </c>
      <c r="C10" s="469">
        <v>0</v>
      </c>
      <c r="D10" s="429" t="s">
        <v>287</v>
      </c>
      <c r="E10" s="430" t="s">
        <v>255</v>
      </c>
      <c r="F10" s="1239"/>
      <c r="G10" s="448"/>
      <c r="H10" s="420" t="s">
        <v>383</v>
      </c>
      <c r="I10" s="631" t="str">
        <f>IF(AND($C$7+$C$8+$C$9+$C$12=0,$C$10+$C$11=1,$C$13=1),"ДА","НЕТ")</f>
        <v>НЕТ</v>
      </c>
      <c r="J10" s="332"/>
      <c r="K10" s="333">
        <f t="shared" si="0"/>
        <v>0</v>
      </c>
      <c r="L10" s="412"/>
    </row>
    <row r="11" spans="1:12" ht="12.75">
      <c r="A11" s="446"/>
      <c r="B11" s="424" t="s">
        <v>501</v>
      </c>
      <c r="C11" s="468">
        <v>0</v>
      </c>
      <c r="D11" s="431" t="s">
        <v>287</v>
      </c>
      <c r="E11" s="431" t="s">
        <v>255</v>
      </c>
      <c r="F11" s="1239"/>
      <c r="G11" s="460"/>
      <c r="H11" s="423" t="s">
        <v>384</v>
      </c>
      <c r="I11" s="631" t="str">
        <f>IF(AND($C$7+$C$8+$C$9+$C$12=0,$C$10+$C$11=1,$C$13=1),"ДА","НЕТ")</f>
        <v>НЕТ</v>
      </c>
      <c r="J11" s="332"/>
      <c r="K11" s="333">
        <f t="shared" si="0"/>
        <v>0</v>
      </c>
      <c r="L11" s="412"/>
    </row>
    <row r="12" spans="1:12" ht="13.5" thickBot="1">
      <c r="A12" s="446"/>
      <c r="B12" s="521" t="s">
        <v>588</v>
      </c>
      <c r="C12" s="520">
        <v>0</v>
      </c>
      <c r="D12" s="633" t="s">
        <v>287</v>
      </c>
      <c r="E12" s="523" t="s">
        <v>255</v>
      </c>
      <c r="F12" s="1240"/>
      <c r="G12" s="460"/>
      <c r="H12" s="423" t="s">
        <v>385</v>
      </c>
      <c r="I12" s="631" t="str">
        <f>IF(AND($C$7+$C$8+$C$9+$C$12=0,$C$10+$C$11=1,$C$13=1),"ДА","НЕТ")</f>
        <v>НЕТ</v>
      </c>
      <c r="J12" s="335"/>
      <c r="K12" s="333">
        <f t="shared" si="0"/>
        <v>0</v>
      </c>
      <c r="L12" s="412"/>
    </row>
    <row r="13" spans="1:12" ht="13.5" thickBot="1">
      <c r="A13" s="446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60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.75">
      <c r="A14" s="446"/>
      <c r="B14" s="426" t="s">
        <v>361</v>
      </c>
      <c r="C14" s="469">
        <v>0</v>
      </c>
      <c r="D14" s="429" t="s">
        <v>287</v>
      </c>
      <c r="E14" s="430" t="s">
        <v>255</v>
      </c>
      <c r="F14" s="1174" t="s">
        <v>597</v>
      </c>
      <c r="G14" s="446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.75">
      <c r="A15" s="446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46"/>
      <c r="H15" s="420" t="s">
        <v>388</v>
      </c>
      <c r="I15" s="631" t="str">
        <f>IF(AND($C$7+$C$8+$C$9+$C$12=0,$C$10+$C$11=1,$C$13=2),"ДА","НЕТ")</f>
        <v>НЕТ</v>
      </c>
      <c r="J15" s="332"/>
      <c r="K15" s="333">
        <f t="shared" si="0"/>
        <v>0</v>
      </c>
      <c r="L15" s="412"/>
    </row>
    <row r="16" spans="1:12" ht="12.75">
      <c r="A16" s="446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IF(AND($C$7+$C$8+$C$9+$C$12=0,$C$10+$C$11=1,$C$13=2),"ДА","НЕТ")</f>
        <v>НЕТ</v>
      </c>
      <c r="J16" s="332"/>
      <c r="K16" s="333">
        <f t="shared" si="0"/>
        <v>0</v>
      </c>
      <c r="L16" s="412"/>
    </row>
    <row r="17" spans="1:12" ht="13.5" thickBot="1">
      <c r="A17" s="446"/>
      <c r="B17" s="424" t="s">
        <v>466</v>
      </c>
      <c r="C17" s="468">
        <v>0</v>
      </c>
      <c r="D17" s="434" t="s">
        <v>287</v>
      </c>
      <c r="E17" s="435" t="s">
        <v>255</v>
      </c>
      <c r="F17" s="1176"/>
      <c r="G17" s="446"/>
      <c r="H17" s="423" t="s">
        <v>390</v>
      </c>
      <c r="I17" s="631" t="str">
        <f>IF(AND($C$7+$C$8+$C$9+$C$12=0,$C$10+$C$11=1,$C$13=2),"ДА","НЕТ")</f>
        <v>НЕТ</v>
      </c>
      <c r="J17" s="332"/>
      <c r="K17" s="330">
        <f t="shared" si="0"/>
        <v>0</v>
      </c>
      <c r="L17" s="412"/>
    </row>
    <row r="18" spans="1:12" ht="13.5" thickBot="1">
      <c r="A18" s="446"/>
      <c r="B18" s="436" t="s">
        <v>123</v>
      </c>
      <c r="C18" s="573">
        <v>0</v>
      </c>
      <c r="D18" s="1218" t="s">
        <v>675</v>
      </c>
      <c r="E18" s="1219"/>
      <c r="F18" s="1220"/>
      <c r="G18" s="446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3.5" thickBot="1">
      <c r="A19" s="446"/>
      <c r="B19" s="736" t="s">
        <v>147</v>
      </c>
      <c r="C19" s="471">
        <v>0</v>
      </c>
      <c r="D19" s="1178" t="s">
        <v>686</v>
      </c>
      <c r="E19" s="1178"/>
      <c r="F19" s="1179"/>
      <c r="G19" s="446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s="73" customFormat="1" ht="13.5" thickBot="1">
      <c r="A20" s="450"/>
      <c r="B20" s="737" t="s">
        <v>146</v>
      </c>
      <c r="C20" s="470">
        <v>0</v>
      </c>
      <c r="D20" s="1184" t="s">
        <v>687</v>
      </c>
      <c r="E20" s="1184"/>
      <c r="F20" s="1185"/>
      <c r="G20" s="450"/>
      <c r="H20" s="571"/>
      <c r="I20" s="735"/>
      <c r="J20" s="343"/>
      <c r="K20" s="344"/>
      <c r="L20" s="647"/>
    </row>
    <row r="21" spans="1:12" ht="13.5" thickBot="1">
      <c r="A21" s="446"/>
      <c r="B21" s="446"/>
      <c r="C21" s="446"/>
      <c r="D21" s="446"/>
      <c r="E21" s="446"/>
      <c r="F21" s="446"/>
      <c r="G21" s="446"/>
      <c r="H21" s="571"/>
      <c r="I21" s="735"/>
      <c r="J21" s="343"/>
      <c r="K21" s="344"/>
      <c r="L21" s="412"/>
    </row>
    <row r="22" spans="1:12" ht="12.75">
      <c r="A22" s="446"/>
      <c r="B22" s="451" t="s">
        <v>5</v>
      </c>
      <c r="C22" s="452" t="s">
        <v>0</v>
      </c>
      <c r="D22" s="638" t="s">
        <v>4</v>
      </c>
      <c r="E22" s="454" t="s">
        <v>8</v>
      </c>
      <c r="F22" s="446"/>
      <c r="G22" s="446"/>
      <c r="H22" s="446"/>
      <c r="I22" s="446"/>
      <c r="J22" s="446"/>
      <c r="K22" s="446"/>
      <c r="L22" s="412"/>
    </row>
    <row r="23" spans="1:12">
      <c r="A23" s="446"/>
      <c r="B23" s="456" t="s">
        <v>469</v>
      </c>
      <c r="C23" s="349">
        <f>(C4+C5+C6)*C18*C16</f>
        <v>0</v>
      </c>
      <c r="D23" s="558"/>
      <c r="E23" s="559">
        <f t="shared" ref="E23:E68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46"/>
      <c r="B24" s="456" t="s">
        <v>536</v>
      </c>
      <c r="C24" s="349">
        <f>C4*C17*(C4+C5+C6)</f>
        <v>0</v>
      </c>
      <c r="D24" s="350"/>
      <c r="E24" s="559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46"/>
      <c r="B25" s="456" t="s">
        <v>117</v>
      </c>
      <c r="C25" s="349">
        <f>(C15+C14)*2*(C4+C5+C6)*C18</f>
        <v>0</v>
      </c>
      <c r="D25" s="350"/>
      <c r="E25" s="559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46"/>
      <c r="B26" s="458" t="s">
        <v>440</v>
      </c>
      <c r="C26" s="354">
        <f>EVEN(ROUNDDOWN(IF(C18&gt;0,(C2/0.5)*C18,0),0))</f>
        <v>0</v>
      </c>
      <c r="D26" s="558"/>
      <c r="E26" s="559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46"/>
      <c r="B27" s="458" t="s">
        <v>420</v>
      </c>
      <c r="C27" s="354">
        <f>IF(AND(C7+C8+C9&gt;0,C10+C11+C12=0),C18*2,0)</f>
        <v>0</v>
      </c>
      <c r="D27" s="558"/>
      <c r="E27" s="559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46"/>
      <c r="B28" s="458" t="s">
        <v>420</v>
      </c>
      <c r="C28" s="354">
        <f>IF(AND(C7+C8+C9=0,C10+C11+C12&gt;0),C18,0)</f>
        <v>0</v>
      </c>
      <c r="D28" s="558"/>
      <c r="E28" s="559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46"/>
      <c r="B29" s="458" t="s">
        <v>511</v>
      </c>
      <c r="C29" s="354">
        <f>IF(AND(C7+C8+C9&gt;0,C10+C11+C12=0),(C4+C5+C6-1)*C18,0)</f>
        <v>0</v>
      </c>
      <c r="D29" s="558"/>
      <c r="E29" s="559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46"/>
      <c r="B30" s="458" t="s">
        <v>511</v>
      </c>
      <c r="C30" s="354">
        <f>IF(AND(C7+C8=0,C10+C11&gt;0),(C4+C5+C6)*C18,0)</f>
        <v>0</v>
      </c>
      <c r="D30" s="558"/>
      <c r="E30" s="559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46"/>
      <c r="B31" s="456" t="s">
        <v>463</v>
      </c>
      <c r="C31" s="349">
        <f>C18</f>
        <v>0</v>
      </c>
      <c r="D31" s="558"/>
      <c r="E31" s="559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46"/>
      <c r="B32" s="456" t="s">
        <v>464</v>
      </c>
      <c r="C32" s="357">
        <f>C18</f>
        <v>0</v>
      </c>
      <c r="D32" s="558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46"/>
      <c r="B33" s="456" t="s">
        <v>441</v>
      </c>
      <c r="C33" s="349">
        <f>C18*2</f>
        <v>0</v>
      </c>
      <c r="D33" s="558"/>
      <c r="E33" s="559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46"/>
      <c r="B34" s="458" t="s">
        <v>445</v>
      </c>
      <c r="C34" s="349">
        <f>IF(C5+C6=0,C46+C49+C58,0)</f>
        <v>0</v>
      </c>
      <c r="D34" s="558"/>
      <c r="E34" s="559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46"/>
      <c r="B35" s="458" t="s">
        <v>446</v>
      </c>
      <c r="C35" s="349">
        <f>IF(AND(C4&gt;0,C5+C6=0),C46+C49+C58+1,0)</f>
        <v>0</v>
      </c>
      <c r="D35" s="558"/>
      <c r="E35" s="559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46"/>
      <c r="B36" s="458" t="s">
        <v>652</v>
      </c>
      <c r="C36" s="349">
        <f>IF(AND(C6&gt;0,C4+C5=0),C46+C49+C58,0)</f>
        <v>0</v>
      </c>
      <c r="D36" s="558"/>
      <c r="E36" s="559">
        <f>C36*D36</f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46"/>
      <c r="B37" s="458" t="s">
        <v>434</v>
      </c>
      <c r="C37" s="349">
        <f>IF(C4=0,(C5+C6)*(C46+C49+C58),0)</f>
        <v>0</v>
      </c>
      <c r="D37" s="558"/>
      <c r="E37" s="559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46"/>
      <c r="B38" s="458" t="s">
        <v>682</v>
      </c>
      <c r="C38" s="349">
        <f>IF(C4+C5+C6&gt;0,C4+C5+C6-1,0)</f>
        <v>0</v>
      </c>
      <c r="D38" s="558"/>
      <c r="E38" s="559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46"/>
      <c r="B39" s="456" t="s">
        <v>474</v>
      </c>
      <c r="C39" s="349">
        <f>C18*C2</f>
        <v>0</v>
      </c>
      <c r="D39" s="558"/>
      <c r="E39" s="559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46"/>
      <c r="B40" s="456" t="s">
        <v>474</v>
      </c>
      <c r="C40" s="354">
        <f>C2*C16*C18</f>
        <v>0</v>
      </c>
      <c r="D40" s="355"/>
      <c r="E40" s="559">
        <f t="shared" si="1"/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46"/>
      <c r="B41" s="458" t="s">
        <v>363</v>
      </c>
      <c r="C41" s="354">
        <f>C15*2*C18</f>
        <v>0</v>
      </c>
      <c r="D41" s="558"/>
      <c r="E41" s="559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46"/>
      <c r="B42" s="458" t="s">
        <v>477</v>
      </c>
      <c r="C42" s="354">
        <f>(C14+C17)*C2*C18</f>
        <v>0</v>
      </c>
      <c r="D42" s="560"/>
      <c r="E42" s="559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46"/>
      <c r="B43" s="458" t="s">
        <v>537</v>
      </c>
      <c r="C43" s="354">
        <f>C17*C2*C18</f>
        <v>0</v>
      </c>
      <c r="D43" s="355"/>
      <c r="E43" s="559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46"/>
      <c r="B44" s="458" t="s">
        <v>364</v>
      </c>
      <c r="C44" s="354">
        <f>C14*C2*C18</f>
        <v>0</v>
      </c>
      <c r="D44" s="355"/>
      <c r="E44" s="559">
        <f t="shared" si="1"/>
        <v>0</v>
      </c>
      <c r="F44" s="460"/>
      <c r="G44" s="446"/>
      <c r="H44" s="446"/>
      <c r="I44" s="446"/>
      <c r="J44" s="446"/>
      <c r="K44" s="446"/>
      <c r="L44" s="412"/>
    </row>
    <row r="45" spans="1:12">
      <c r="A45" s="446"/>
      <c r="B45" s="458" t="s">
        <v>365</v>
      </c>
      <c r="C45" s="361">
        <f>C15*C2*C18</f>
        <v>0</v>
      </c>
      <c r="D45" s="355"/>
      <c r="E45" s="559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>
      <c r="A46" s="446"/>
      <c r="B46" s="458" t="s">
        <v>514</v>
      </c>
      <c r="C46" s="354">
        <f>((C4+C5+C6)-1)*C18</f>
        <v>0</v>
      </c>
      <c r="D46" s="596"/>
      <c r="E46" s="559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1.25" customHeight="1">
      <c r="A47" s="446"/>
      <c r="B47" s="459" t="s">
        <v>506</v>
      </c>
      <c r="C47" s="406">
        <f>((C4+C5+C6)-1)*C18</f>
        <v>0</v>
      </c>
      <c r="D47" s="596"/>
      <c r="E47" s="559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>
      <c r="A48" s="446"/>
      <c r="B48" s="459" t="s">
        <v>515</v>
      </c>
      <c r="C48" s="406">
        <f>((C4+C5+C6)-1)*C18</f>
        <v>0</v>
      </c>
      <c r="D48" s="596"/>
      <c r="E48" s="559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>
      <c r="A49" s="446"/>
      <c r="B49" s="458" t="s">
        <v>505</v>
      </c>
      <c r="C49" s="354">
        <f>((C4+C5+C6)-1)*C18</f>
        <v>0</v>
      </c>
      <c r="D49" s="596"/>
      <c r="E49" s="559">
        <f t="shared" si="1"/>
        <v>0</v>
      </c>
      <c r="F49" s="446"/>
      <c r="G49" s="446"/>
      <c r="H49" s="446"/>
      <c r="I49" s="446"/>
      <c r="J49" s="446"/>
      <c r="K49" s="446"/>
      <c r="L49" s="412"/>
    </row>
    <row r="50" spans="1:12">
      <c r="A50" s="446"/>
      <c r="B50" s="458" t="s">
        <v>473</v>
      </c>
      <c r="C50" s="354">
        <f>C18*C2*C16</f>
        <v>0</v>
      </c>
      <c r="D50" s="558"/>
      <c r="E50" s="559">
        <f t="shared" si="1"/>
        <v>0</v>
      </c>
      <c r="F50" s="446"/>
      <c r="G50" s="446"/>
      <c r="H50" s="446"/>
      <c r="I50" s="446"/>
      <c r="J50" s="446"/>
      <c r="K50" s="446"/>
      <c r="L50" s="412"/>
    </row>
    <row r="51" spans="1:12">
      <c r="A51" s="446"/>
      <c r="B51" s="456" t="s">
        <v>461</v>
      </c>
      <c r="C51" s="349">
        <f>IF(AND(C4&gt;0,C5+C6=0),C2*C18,0)</f>
        <v>0</v>
      </c>
      <c r="D51" s="558"/>
      <c r="E51" s="559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46"/>
      <c r="B52" s="456" t="s">
        <v>462</v>
      </c>
      <c r="C52" s="349">
        <f>IF(AND(C4+C6=0,C5&gt;0),C2*C18,0)</f>
        <v>0</v>
      </c>
      <c r="D52" s="558"/>
      <c r="E52" s="559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46"/>
      <c r="B53" s="456" t="s">
        <v>601</v>
      </c>
      <c r="C53" s="349">
        <f>IF(AND(C5+C4=0,C6&gt;0),C2*C18,0)</f>
        <v>0</v>
      </c>
      <c r="D53" s="558">
        <v>1</v>
      </c>
      <c r="E53" s="559">
        <f>C53*D53</f>
        <v>0</v>
      </c>
      <c r="F53" s="446"/>
      <c r="G53" s="446"/>
      <c r="H53" s="446"/>
      <c r="I53" s="446"/>
      <c r="J53" s="446"/>
      <c r="K53" s="446"/>
      <c r="L53" s="412"/>
    </row>
    <row r="54" spans="1:12">
      <c r="A54" s="446"/>
      <c r="B54" s="456" t="s">
        <v>442</v>
      </c>
      <c r="C54" s="349">
        <f>C18*2</f>
        <v>0</v>
      </c>
      <c r="D54" s="558"/>
      <c r="E54" s="559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>
      <c r="A55" s="446"/>
      <c r="B55" s="642" t="s">
        <v>483</v>
      </c>
      <c r="C55" s="406">
        <f>C2*C18</f>
        <v>0</v>
      </c>
      <c r="D55" s="561"/>
      <c r="E55" s="559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>
      <c r="A56" s="446"/>
      <c r="B56" s="456" t="s">
        <v>443</v>
      </c>
      <c r="C56" s="349">
        <f>C18*C2</f>
        <v>0</v>
      </c>
      <c r="D56" s="558"/>
      <c r="E56" s="559">
        <f t="shared" si="1"/>
        <v>0</v>
      </c>
      <c r="F56" s="446"/>
      <c r="G56" s="446"/>
      <c r="H56" s="446"/>
      <c r="I56" s="446"/>
      <c r="J56" s="446"/>
      <c r="K56" s="446"/>
      <c r="L56" s="412"/>
    </row>
    <row r="57" spans="1:12">
      <c r="A57" s="446"/>
      <c r="B57" s="456" t="s">
        <v>444</v>
      </c>
      <c r="C57" s="349">
        <f>C18*C2</f>
        <v>0</v>
      </c>
      <c r="D57" s="558"/>
      <c r="E57" s="559">
        <f t="shared" si="1"/>
        <v>0</v>
      </c>
      <c r="F57" s="446"/>
      <c r="G57" s="446"/>
      <c r="H57" s="446"/>
      <c r="I57" s="446"/>
      <c r="J57" s="446"/>
      <c r="K57" s="446"/>
      <c r="L57" s="412"/>
    </row>
    <row r="58" spans="1:12">
      <c r="A58" s="446"/>
      <c r="B58" s="458" t="s">
        <v>423</v>
      </c>
      <c r="C58" s="354">
        <f>C18</f>
        <v>0</v>
      </c>
      <c r="D58" s="558"/>
      <c r="E58" s="559">
        <f t="shared" si="1"/>
        <v>0</v>
      </c>
      <c r="F58" s="446"/>
      <c r="G58" s="446"/>
      <c r="H58" s="446"/>
      <c r="I58" s="446"/>
      <c r="J58" s="446"/>
      <c r="K58" s="446"/>
      <c r="L58" s="412"/>
    </row>
    <row r="59" spans="1:12">
      <c r="A59" s="446"/>
      <c r="B59" s="458" t="s">
        <v>677</v>
      </c>
      <c r="C59" s="354">
        <f>C18*4</f>
        <v>0</v>
      </c>
      <c r="D59" s="558"/>
      <c r="E59" s="559">
        <f t="shared" si="1"/>
        <v>0</v>
      </c>
      <c r="F59" s="446"/>
      <c r="G59" s="446"/>
      <c r="H59" s="446"/>
      <c r="I59" s="446"/>
      <c r="J59" s="446"/>
      <c r="K59" s="446"/>
      <c r="L59" s="412"/>
    </row>
    <row r="60" spans="1:12">
      <c r="A60" s="446"/>
      <c r="B60" s="458" t="s">
        <v>516</v>
      </c>
      <c r="C60" s="354">
        <f>((C4+C5+C6+1)*2)*C18</f>
        <v>0</v>
      </c>
      <c r="D60" s="558"/>
      <c r="E60" s="559">
        <f t="shared" si="1"/>
        <v>0</v>
      </c>
      <c r="F60" s="446"/>
      <c r="G60" s="446"/>
      <c r="H60" s="446"/>
      <c r="I60" s="446"/>
      <c r="J60" s="446"/>
      <c r="K60" s="446"/>
      <c r="L60" s="412"/>
    </row>
    <row r="61" spans="1:12">
      <c r="A61" s="446"/>
      <c r="B61" s="459" t="s">
        <v>602</v>
      </c>
      <c r="C61" s="361">
        <f>C9*C18</f>
        <v>0</v>
      </c>
      <c r="D61" s="355"/>
      <c r="E61" s="351">
        <f t="shared" si="1"/>
        <v>0</v>
      </c>
      <c r="F61" s="446"/>
      <c r="G61" s="446"/>
      <c r="H61" s="446"/>
      <c r="I61" s="446"/>
      <c r="J61" s="446"/>
      <c r="K61" s="446"/>
      <c r="L61" s="412"/>
    </row>
    <row r="62" spans="1:12">
      <c r="A62" s="446"/>
      <c r="B62" s="459" t="s">
        <v>603</v>
      </c>
      <c r="C62" s="361">
        <f>C18*C12</f>
        <v>0</v>
      </c>
      <c r="D62" s="355"/>
      <c r="E62" s="351">
        <f t="shared" si="1"/>
        <v>0</v>
      </c>
      <c r="F62" s="446"/>
      <c r="G62" s="446"/>
      <c r="H62" s="446"/>
      <c r="I62" s="446"/>
      <c r="J62" s="446"/>
      <c r="K62" s="446"/>
      <c r="L62" s="412"/>
    </row>
    <row r="63" spans="1:12">
      <c r="A63" s="446"/>
      <c r="B63" s="459" t="s">
        <v>378</v>
      </c>
      <c r="C63" s="361">
        <f>C7*C18</f>
        <v>0</v>
      </c>
      <c r="D63" s="560"/>
      <c r="E63" s="559">
        <f t="shared" si="1"/>
        <v>0</v>
      </c>
      <c r="F63" s="446"/>
      <c r="G63" s="446"/>
      <c r="H63" s="446"/>
      <c r="I63" s="446"/>
      <c r="J63" s="446"/>
      <c r="K63" s="446"/>
      <c r="L63" s="412"/>
    </row>
    <row r="64" spans="1:12">
      <c r="A64" s="446"/>
      <c r="B64" s="459" t="s">
        <v>598</v>
      </c>
      <c r="C64" s="361">
        <f>C10*C18</f>
        <v>0</v>
      </c>
      <c r="D64" s="560"/>
      <c r="E64" s="559">
        <f t="shared" si="1"/>
        <v>0</v>
      </c>
      <c r="F64" s="446"/>
      <c r="G64" s="446"/>
      <c r="H64" s="446"/>
      <c r="I64" s="446"/>
      <c r="J64" s="446"/>
      <c r="K64" s="446"/>
      <c r="L64" s="412"/>
    </row>
    <row r="65" spans="1:12">
      <c r="A65" s="446"/>
      <c r="B65" s="459" t="s">
        <v>436</v>
      </c>
      <c r="C65" s="361">
        <f>C8*C18</f>
        <v>0</v>
      </c>
      <c r="D65" s="560"/>
      <c r="E65" s="559">
        <f t="shared" si="1"/>
        <v>0</v>
      </c>
      <c r="F65" s="446"/>
      <c r="G65" s="446"/>
      <c r="H65" s="446"/>
      <c r="I65" s="446"/>
      <c r="J65" s="446"/>
      <c r="K65" s="446"/>
      <c r="L65" s="412"/>
    </row>
    <row r="66" spans="1:12">
      <c r="A66" s="446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46"/>
      <c r="H66" s="446"/>
      <c r="I66" s="446"/>
      <c r="J66" s="446"/>
      <c r="K66" s="446"/>
      <c r="L66" s="412"/>
    </row>
    <row r="67" spans="1:12">
      <c r="A67" s="446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46"/>
      <c r="H67" s="446"/>
      <c r="I67" s="446"/>
      <c r="J67" s="446"/>
      <c r="K67" s="446"/>
      <c r="L67" s="412"/>
    </row>
    <row r="68" spans="1:12" ht="12" thickBot="1">
      <c r="A68" s="446"/>
      <c r="B68" s="461" t="s">
        <v>599</v>
      </c>
      <c r="C68" s="409">
        <f>C11*C18</f>
        <v>0</v>
      </c>
      <c r="D68" s="597"/>
      <c r="E68" s="563">
        <f t="shared" si="1"/>
        <v>0</v>
      </c>
      <c r="F68" s="446"/>
      <c r="G68" s="446"/>
      <c r="H68" s="446"/>
      <c r="I68" s="446"/>
      <c r="J68" s="446"/>
      <c r="K68" s="446"/>
      <c r="L68" s="412"/>
    </row>
    <row r="69" spans="1:12" ht="13.5" thickBot="1">
      <c r="A69" s="446"/>
      <c r="B69" s="446"/>
      <c r="C69" s="446"/>
      <c r="D69" s="696" t="s">
        <v>9</v>
      </c>
      <c r="E69" s="534">
        <f>SUMIF(E23:E68,"&gt;0",E23:E68)</f>
        <v>0</v>
      </c>
      <c r="F69" s="446"/>
      <c r="G69" s="446"/>
      <c r="H69" s="446"/>
      <c r="I69" s="446"/>
      <c r="J69" s="446"/>
      <c r="K69" s="446"/>
      <c r="L69" s="412"/>
    </row>
    <row r="70" spans="1:12">
      <c r="A70" s="446"/>
      <c r="B70" s="446"/>
      <c r="C70" s="446"/>
      <c r="D70" s="446"/>
      <c r="E70" s="446"/>
      <c r="F70" s="446"/>
      <c r="G70" s="446"/>
      <c r="H70" s="446"/>
      <c r="I70" s="446"/>
      <c r="J70" s="446"/>
      <c r="K70" s="446"/>
      <c r="L70" s="412"/>
    </row>
    <row r="71" spans="1:12">
      <c r="A71" s="446"/>
      <c r="B71" s="446"/>
      <c r="C71" s="446"/>
      <c r="D71" s="446"/>
      <c r="E71" s="446"/>
      <c r="F71" s="446"/>
      <c r="G71" s="446"/>
      <c r="H71" s="446"/>
      <c r="I71" s="446"/>
      <c r="J71" s="446"/>
      <c r="K71" s="446"/>
      <c r="L71" s="412"/>
    </row>
    <row r="72" spans="1:12" ht="11.25" customHeight="1">
      <c r="A72" s="446"/>
      <c r="B72" s="446"/>
      <c r="C72" s="446"/>
      <c r="D72" s="446"/>
      <c r="E72" s="446"/>
      <c r="F72" s="446"/>
      <c r="G72" s="446"/>
      <c r="H72" s="446"/>
      <c r="I72" s="446"/>
      <c r="J72" s="446"/>
      <c r="K72" s="446"/>
      <c r="L72" s="412"/>
    </row>
    <row r="73" spans="1:12">
      <c r="A73" s="446"/>
      <c r="B73" s="446"/>
      <c r="C73" s="446"/>
      <c r="D73" s="446"/>
      <c r="E73" s="446"/>
      <c r="F73" s="446"/>
      <c r="G73" s="446"/>
      <c r="H73" s="446"/>
      <c r="I73" s="446"/>
      <c r="J73" s="446"/>
      <c r="K73" s="446"/>
      <c r="L73" s="412"/>
    </row>
    <row r="74" spans="1:12">
      <c r="A74" s="446"/>
      <c r="B74" s="446"/>
      <c r="C74" s="446"/>
      <c r="D74" s="446"/>
      <c r="E74" s="446"/>
      <c r="F74" s="446"/>
      <c r="G74" s="446"/>
      <c r="H74" s="446"/>
      <c r="I74" s="446"/>
      <c r="J74" s="446"/>
      <c r="K74" s="446"/>
      <c r="L74" s="412"/>
    </row>
    <row r="75" spans="1:12">
      <c r="A75" s="446"/>
      <c r="B75" s="446"/>
      <c r="C75" s="446"/>
      <c r="D75" s="446"/>
      <c r="E75" s="446"/>
      <c r="F75" s="446"/>
      <c r="G75" s="446"/>
      <c r="H75" s="446"/>
      <c r="I75" s="446"/>
      <c r="J75" s="446"/>
      <c r="K75" s="446"/>
      <c r="L75" s="412"/>
    </row>
    <row r="76" spans="1:12">
      <c r="A76" s="446"/>
      <c r="B76" s="446"/>
      <c r="C76" s="446"/>
      <c r="D76" s="446"/>
      <c r="E76" s="446"/>
      <c r="F76" s="446"/>
      <c r="G76" s="446"/>
      <c r="H76" s="446"/>
      <c r="I76" s="446"/>
      <c r="J76" s="446"/>
      <c r="K76" s="446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258" priority="92" operator="greaterThan">
      <formula>0</formula>
    </cfRule>
  </conditionalFormatting>
  <conditionalFormatting sqref="C13">
    <cfRule type="cellIs" dxfId="257" priority="91" operator="greaterThan">
      <formula>0</formula>
    </cfRule>
  </conditionalFormatting>
  <conditionalFormatting sqref="C13">
    <cfRule type="cellIs" dxfId="256" priority="90" operator="greaterThan">
      <formula>0</formula>
    </cfRule>
  </conditionalFormatting>
  <conditionalFormatting sqref="J3:J21">
    <cfRule type="cellIs" dxfId="255" priority="25" operator="greaterThan">
      <formula>0</formula>
    </cfRule>
    <cfRule type="cellIs" dxfId="254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53" priority="46" operator="equal">
      <formula>"ДА"</formula>
    </cfRule>
    <cfRule type="cellIs" dxfId="252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51" priority="43" operator="equal">
      <formula>"ДА"</formula>
    </cfRule>
    <cfRule type="cellIs" dxfId="250" priority="44" operator="equal">
      <formula>"НЕТ"</formula>
    </cfRule>
  </conditionalFormatting>
  <conditionalFormatting sqref="I5">
    <cfRule type="cellIs" dxfId="249" priority="40" operator="equal">
      <formula>"ДА"</formula>
    </cfRule>
    <cfRule type="cellIs" dxfId="248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47" priority="36" operator="equal">
      <formula>"ДА"</formula>
    </cfRule>
    <cfRule type="cellIs" dxfId="246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245" priority="32" operator="equal">
      <formula>"ДА"</formula>
    </cfRule>
    <cfRule type="cellIs" dxfId="244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243" priority="30" operator="equal">
      <formula>"ДА"</formula>
    </cfRule>
    <cfRule type="cellIs" dxfId="242" priority="31" operator="equal">
      <formula>"НЕТ"</formula>
    </cfRule>
  </conditionalFormatting>
  <conditionalFormatting sqref="I19:I21">
    <cfRule type="cellIs" dxfId="241" priority="28" operator="equal">
      <formula>"ДА"</formula>
    </cfRule>
    <cfRule type="cellIs" dxfId="240" priority="29" operator="equal">
      <formula>"НЕТ"</formula>
    </cfRule>
  </conditionalFormatting>
  <conditionalFormatting sqref="K3:K21">
    <cfRule type="cellIs" dxfId="239" priority="27" operator="greaterThan">
      <formula>0</formula>
    </cfRule>
  </conditionalFormatting>
  <conditionalFormatting sqref="I15:I21">
    <cfRule type="cellIs" dxfId="238" priority="24" operator="equal">
      <formula>"НЕТ"</formula>
    </cfRule>
  </conditionalFormatting>
  <conditionalFormatting sqref="I3:I21">
    <cfRule type="cellIs" dxfId="237" priority="22" operator="equal">
      <formula>"НЕТ"</formula>
    </cfRule>
    <cfRule type="cellIs" dxfId="236" priority="23" operator="equal">
      <formula>"ДА"</formula>
    </cfRule>
  </conditionalFormatting>
  <conditionalFormatting sqref="I3:I18">
    <cfRule type="cellIs" dxfId="235" priority="21" operator="equal">
      <formula>"ДА"</formula>
    </cfRule>
  </conditionalFormatting>
  <conditionalFormatting sqref="I5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2" priority="15" operator="equal">
      <formula>"ДА"</formula>
    </cfRule>
    <cfRule type="cellIs" dxfId="231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230" priority="3" operator="greaterThan">
      <formula>0</formula>
    </cfRule>
    <cfRule type="cellIs" dxfId="229" priority="14" operator="greaterThan">
      <formula>0</formula>
    </cfRule>
  </conditionalFormatting>
  <conditionalFormatting sqref="C61:E61">
    <cfRule type="cellIs" dxfId="228" priority="13" operator="greaterThan">
      <formula>0</formula>
    </cfRule>
  </conditionalFormatting>
  <conditionalFormatting sqref="C62:E62">
    <cfRule type="cellIs" dxfId="227" priority="12" operator="greaterThan">
      <formula>0</formula>
    </cfRule>
  </conditionalFormatting>
  <conditionalFormatting sqref="C61:E62">
    <cfRule type="cellIs" dxfId="226" priority="11" operator="greaterThan">
      <formula>0</formula>
    </cfRule>
  </conditionalFormatting>
  <conditionalFormatting sqref="C61:E62">
    <cfRule type="cellIs" dxfId="225" priority="10" operator="greaterThan">
      <formula>0</formula>
    </cfRule>
  </conditionalFormatting>
  <conditionalFormatting sqref="I5">
    <cfRule type="cellIs" dxfId="224" priority="7" operator="equal">
      <formula>"ДА"</formula>
    </cfRule>
    <cfRule type="cellIs" dxfId="223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222" priority="6" operator="greaterThan">
      <formula>0</formula>
    </cfRule>
  </conditionalFormatting>
  <conditionalFormatting sqref="C68:E68 C23:E65">
    <cfRule type="cellIs" dxfId="221" priority="5" operator="greaterThan">
      <formula>0</formula>
    </cfRule>
  </conditionalFormatting>
  <conditionalFormatting sqref="E69">
    <cfRule type="cellIs" dxfId="220" priority="4" operator="greaterThan">
      <formula>0</formula>
    </cfRule>
  </conditionalFormatting>
  <conditionalFormatting sqref="C19:C20">
    <cfRule type="cellIs" dxfId="219" priority="2" operator="greaterThan">
      <formula>0</formula>
    </cfRule>
  </conditionalFormatting>
  <conditionalFormatting sqref="C66:E67">
    <cfRule type="cellIs" dxfId="21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465">
        <v>3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1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2</v>
      </c>
      <c r="D4" s="1218" t="s">
        <v>128</v>
      </c>
      <c r="E4" s="1219"/>
      <c r="F4" s="1220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ref="K5:K17" si="0">IF(I5="ДА",$C$10*J5,0)</f>
        <v>0</v>
      </c>
      <c r="L5" s="412"/>
      <c r="M5" s="412"/>
    </row>
    <row r="6" spans="1:13" ht="12" customHeight="1">
      <c r="A6" s="412"/>
      <c r="B6" s="424" t="s">
        <v>493</v>
      </c>
      <c r="C6" s="609">
        <v>1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426" t="s">
        <v>123</v>
      </c>
      <c r="C10" s="602">
        <v>1</v>
      </c>
      <c r="D10" s="1218" t="s">
        <v>675</v>
      </c>
      <c r="E10" s="1219"/>
      <c r="F10" s="1220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358</v>
      </c>
      <c r="C11" s="600">
        <v>0</v>
      </c>
      <c r="D11" s="440" t="s">
        <v>359</v>
      </c>
      <c r="E11" s="443" t="s">
        <v>360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 thickBot="1">
      <c r="A12" s="412"/>
      <c r="B12" s="698" t="s">
        <v>502</v>
      </c>
      <c r="C12" s="603">
        <v>0</v>
      </c>
      <c r="D12" s="1218" t="s">
        <v>540</v>
      </c>
      <c r="E12" s="1219"/>
      <c r="F12" s="1220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>
      <c r="A13" s="412"/>
      <c r="B13" s="414" t="s">
        <v>397</v>
      </c>
      <c r="C13" s="604">
        <v>0</v>
      </c>
      <c r="D13" s="427" t="s">
        <v>287</v>
      </c>
      <c r="E13" s="632" t="s">
        <v>255</v>
      </c>
      <c r="F13" s="1187" t="s">
        <v>597</v>
      </c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 thickBot="1">
      <c r="A14" s="412"/>
      <c r="B14" s="419" t="s">
        <v>398</v>
      </c>
      <c r="C14" s="605">
        <v>0</v>
      </c>
      <c r="D14" s="434" t="s">
        <v>287</v>
      </c>
      <c r="E14" s="438" t="s">
        <v>255</v>
      </c>
      <c r="F14" s="1188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>
      <c r="A16" s="412"/>
      <c r="B16" s="424" t="s">
        <v>146</v>
      </c>
      <c r="C16" s="468">
        <v>0</v>
      </c>
      <c r="D16" s="1180" t="s">
        <v>687</v>
      </c>
      <c r="E16" s="1181"/>
      <c r="F16" s="1182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419" t="s">
        <v>143</v>
      </c>
      <c r="C17" s="470">
        <v>0</v>
      </c>
      <c r="D17" s="1183" t="s">
        <v>688</v>
      </c>
      <c r="E17" s="1184"/>
      <c r="F17" s="1185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s="73" customFormat="1" ht="12" customHeight="1" thickBot="1">
      <c r="A18" s="647"/>
      <c r="B18" s="646"/>
      <c r="C18" s="646"/>
      <c r="D18" s="646"/>
      <c r="E18" s="450"/>
      <c r="F18" s="450"/>
      <c r="G18" s="450"/>
      <c r="H18" s="571"/>
      <c r="I18" s="572"/>
      <c r="J18" s="343"/>
      <c r="K18" s="344"/>
      <c r="L18" s="647"/>
      <c r="M18" s="647"/>
    </row>
    <row r="19" spans="1:13" ht="12" customHeight="1" thickBot="1">
      <c r="A19" s="412"/>
      <c r="B19" s="699" t="s">
        <v>5</v>
      </c>
      <c r="C19" s="700" t="s">
        <v>0</v>
      </c>
      <c r="D19" s="701" t="s">
        <v>4</v>
      </c>
      <c r="E19" s="702" t="s">
        <v>8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703" t="s">
        <v>401</v>
      </c>
      <c r="C20" s="606">
        <f>C2*C10</f>
        <v>3</v>
      </c>
      <c r="D20" s="599"/>
      <c r="E20" s="607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8" t="s">
        <v>402</v>
      </c>
      <c r="C21" s="354">
        <f>IF(C14=1,C2*C10,0)</f>
        <v>0</v>
      </c>
      <c r="D21" s="5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399</v>
      </c>
      <c r="C22" s="349">
        <f>IF(AND(C13=1,C14=0),(C4*C10)*2,0)</f>
        <v>0</v>
      </c>
      <c r="D22" s="560"/>
      <c r="E22" s="351">
        <f>C22*D22</f>
        <v>0</v>
      </c>
      <c r="F22" s="446"/>
      <c r="G22" s="446"/>
      <c r="H22" s="446"/>
      <c r="I22" s="446"/>
      <c r="J22" s="704"/>
      <c r="K22" s="446"/>
      <c r="L22" s="412"/>
      <c r="M22" s="412"/>
    </row>
    <row r="23" spans="1:13" ht="12" customHeight="1">
      <c r="A23" s="412"/>
      <c r="B23" s="456" t="s">
        <v>400</v>
      </c>
      <c r="C23" s="349">
        <f>IF(AND(C13=0,C14=1),C4*C10,0)</f>
        <v>0</v>
      </c>
      <c r="D23" s="560"/>
      <c r="E23" s="351">
        <f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447</v>
      </c>
      <c r="C24" s="354">
        <f>IF(C11=0,C10*2,0)</f>
        <v>2</v>
      </c>
      <c r="D24" s="360"/>
      <c r="E24" s="351">
        <f t="shared" ref="E24:E58" si="1">C24*D24</f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8" t="s">
        <v>503</v>
      </c>
      <c r="C25" s="354">
        <f>IF(C11=0,((C4-1)+C12)*C10,0)</f>
        <v>1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524</v>
      </c>
      <c r="C26" s="354">
        <f>IF(C11=1,C10*2,0)</f>
        <v>0</v>
      </c>
      <c r="D26" s="360"/>
      <c r="E26" s="351">
        <f>C26*D26</f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542</v>
      </c>
      <c r="C27" s="354">
        <f>IF(C11=1,((C4-1)+C12)*C10,0)</f>
        <v>0</v>
      </c>
      <c r="D27" s="360"/>
      <c r="E27" s="351">
        <f>C27*D27</f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8" t="s">
        <v>609</v>
      </c>
      <c r="C28" s="354">
        <f>IF(C11=0,C10*2,0)</f>
        <v>2</v>
      </c>
      <c r="D28" s="36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8" t="s">
        <v>614</v>
      </c>
      <c r="C29" s="354">
        <f>IF(C11=1,C10*2,0)</f>
        <v>0</v>
      </c>
      <c r="D29" s="360"/>
      <c r="E29" s="351">
        <f>C29*D29</f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6" t="s">
        <v>474</v>
      </c>
      <c r="C30" s="349">
        <f>C2*C10*(C5+C7)</f>
        <v>0</v>
      </c>
      <c r="D30" s="403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480</v>
      </c>
      <c r="C31" s="354">
        <f>C2*C10*(C6+C8)</f>
        <v>3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477</v>
      </c>
      <c r="C32" s="354">
        <f>C2*C10</f>
        <v>3</v>
      </c>
      <c r="D32" s="560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6" t="s">
        <v>451</v>
      </c>
      <c r="C33" s="349">
        <f>C2*C10*(C5+C7)</f>
        <v>0</v>
      </c>
      <c r="D33" s="403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6" t="s">
        <v>450</v>
      </c>
      <c r="C34" s="349">
        <f>C2*C10*(C6+C8)</f>
        <v>3</v>
      </c>
      <c r="D34" s="403"/>
      <c r="E34" s="351">
        <f>C34*D34</f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367</v>
      </c>
      <c r="C35" s="354">
        <f>C10*(C5+C7)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728</v>
      </c>
      <c r="C36" s="354">
        <f>C10*(C6+C8)</f>
        <v>1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727</v>
      </c>
      <c r="C37" s="354">
        <f>C10*(C4*2-2)*(C6+C8)</f>
        <v>2</v>
      </c>
      <c r="D37" s="360"/>
      <c r="E37" s="576">
        <f>C37*D37</f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504</v>
      </c>
      <c r="C38" s="354">
        <f>(C4-1)*C10</f>
        <v>1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505</v>
      </c>
      <c r="C39" s="354">
        <f>(C4-1)*C10</f>
        <v>1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828</v>
      </c>
      <c r="C40" s="354">
        <f>C10</f>
        <v>1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9" t="s">
        <v>506</v>
      </c>
      <c r="C41" s="406">
        <f>(C4-1+C12)*C10</f>
        <v>1</v>
      </c>
      <c r="D41" s="360"/>
      <c r="E41" s="407">
        <f t="shared" si="1"/>
        <v>0</v>
      </c>
      <c r="F41" s="446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8" t="s">
        <v>368</v>
      </c>
      <c r="C42" s="354">
        <f>(C24+C25+C26+C27)*2</f>
        <v>6</v>
      </c>
      <c r="D42" s="560"/>
      <c r="E42" s="576">
        <f t="shared" si="1"/>
        <v>0</v>
      </c>
      <c r="F42" s="705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6" t="s">
        <v>617</v>
      </c>
      <c r="C43" s="349">
        <f>C2*C10</f>
        <v>3</v>
      </c>
      <c r="D43" s="403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507</v>
      </c>
      <c r="C44" s="406">
        <f>(C4-1+C12)*C10</f>
        <v>1</v>
      </c>
      <c r="D44" s="360"/>
      <c r="E44" s="407">
        <f t="shared" si="1"/>
        <v>0</v>
      </c>
      <c r="F44" s="446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508</v>
      </c>
      <c r="C45" s="406">
        <f>C12*C10</f>
        <v>0</v>
      </c>
      <c r="D45" s="360"/>
      <c r="E45" s="407">
        <f t="shared" si="1"/>
        <v>0</v>
      </c>
      <c r="F45" s="706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8" t="s">
        <v>479</v>
      </c>
      <c r="C46" s="354">
        <f>EVEN(ROUNDDOWN(IF(C4&gt;0,(C2/0.5)*C10,0),0))</f>
        <v>6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378</v>
      </c>
      <c r="C47" s="406">
        <f>C10*C8</f>
        <v>0</v>
      </c>
      <c r="D47" s="360"/>
      <c r="E47" s="407">
        <f t="shared" si="1"/>
        <v>0</v>
      </c>
      <c r="F47" s="446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386</v>
      </c>
      <c r="C48" s="406">
        <f>C10*C6</f>
        <v>1</v>
      </c>
      <c r="D48" s="360"/>
      <c r="E48" s="407">
        <f t="shared" si="1"/>
        <v>0</v>
      </c>
      <c r="F48" s="446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387</v>
      </c>
      <c r="C49" s="406">
        <f>C10*C6</f>
        <v>1</v>
      </c>
      <c r="D49" s="360"/>
      <c r="E49" s="407">
        <f t="shared" si="1"/>
        <v>0</v>
      </c>
      <c r="F49" s="446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377</v>
      </c>
      <c r="C50" s="406">
        <f>C10*C8</f>
        <v>0</v>
      </c>
      <c r="D50" s="360"/>
      <c r="E50" s="407">
        <f t="shared" si="1"/>
        <v>0</v>
      </c>
      <c r="F50" s="446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454</v>
      </c>
      <c r="C51" s="406">
        <f>(C5+C7)*C10</f>
        <v>0</v>
      </c>
      <c r="D51" s="360"/>
      <c r="E51" s="407">
        <f t="shared" si="1"/>
        <v>0</v>
      </c>
      <c r="F51" s="446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459" t="s">
        <v>375</v>
      </c>
      <c r="C52" s="406">
        <f>C7*C10</f>
        <v>0</v>
      </c>
      <c r="D52" s="360"/>
      <c r="E52" s="407">
        <f t="shared" si="1"/>
        <v>0</v>
      </c>
      <c r="F52" s="446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459" t="s">
        <v>495</v>
      </c>
      <c r="C53" s="406">
        <f>C7*C10</f>
        <v>0</v>
      </c>
      <c r="D53" s="360"/>
      <c r="E53" s="407">
        <f t="shared" si="1"/>
        <v>0</v>
      </c>
      <c r="F53" s="656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459" t="s">
        <v>380</v>
      </c>
      <c r="C54" s="406">
        <f>C5*C10</f>
        <v>0</v>
      </c>
      <c r="D54" s="360"/>
      <c r="E54" s="407">
        <f t="shared" si="1"/>
        <v>0</v>
      </c>
      <c r="F54" s="657"/>
      <c r="G54" s="446"/>
      <c r="H54" s="446"/>
      <c r="I54" s="446"/>
      <c r="J54" s="446"/>
      <c r="K54" s="446"/>
      <c r="L54" s="412"/>
      <c r="M54" s="412"/>
    </row>
    <row r="55" spans="1:13" ht="12" customHeight="1">
      <c r="A55" s="412"/>
      <c r="B55" s="532" t="s">
        <v>145</v>
      </c>
      <c r="C55" s="513">
        <f>C16</f>
        <v>0</v>
      </c>
      <c r="D55" s="529"/>
      <c r="E55" s="407">
        <f t="shared" si="1"/>
        <v>0</v>
      </c>
      <c r="F55" s="657"/>
      <c r="G55" s="446"/>
      <c r="H55" s="446"/>
      <c r="I55" s="446"/>
      <c r="J55" s="446"/>
      <c r="K55" s="446"/>
      <c r="L55" s="412"/>
      <c r="M55" s="412"/>
    </row>
    <row r="56" spans="1:13" ht="12" customHeight="1">
      <c r="A56" s="412"/>
      <c r="B56" s="532" t="s">
        <v>148</v>
      </c>
      <c r="C56" s="513">
        <f>C15</f>
        <v>0</v>
      </c>
      <c r="D56" s="529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  <c r="M56" s="412"/>
    </row>
    <row r="57" spans="1:13" ht="12" customHeight="1">
      <c r="A57" s="412"/>
      <c r="B57" s="532" t="s">
        <v>689</v>
      </c>
      <c r="C57" s="513">
        <f>C17</f>
        <v>0</v>
      </c>
      <c r="D57" s="529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  <c r="M57" s="412"/>
    </row>
    <row r="58" spans="1:13" ht="12" customHeight="1" thickBot="1">
      <c r="A58" s="412"/>
      <c r="B58" s="461" t="s">
        <v>829</v>
      </c>
      <c r="C58" s="409">
        <f>C5*C10</f>
        <v>0</v>
      </c>
      <c r="D58" s="480"/>
      <c r="E58" s="411">
        <f t="shared" si="1"/>
        <v>0</v>
      </c>
      <c r="F58" s="657"/>
      <c r="G58" s="446"/>
      <c r="H58" s="446"/>
      <c r="I58" s="446"/>
      <c r="J58" s="446"/>
      <c r="K58" s="446"/>
      <c r="L58" s="412"/>
      <c r="M58" s="412"/>
    </row>
    <row r="59" spans="1:13" ht="12" customHeight="1" thickBot="1">
      <c r="A59" s="412"/>
      <c r="B59" s="446"/>
      <c r="C59" s="446"/>
      <c r="D59" s="462" t="s">
        <v>9</v>
      </c>
      <c r="E59" s="534">
        <f>SUMIF(E20:E58,"&gt;0",E20:E58)</f>
        <v>0</v>
      </c>
      <c r="F59" s="657"/>
      <c r="G59" s="446"/>
      <c r="H59" s="446"/>
      <c r="I59" s="446"/>
      <c r="J59" s="446"/>
      <c r="K59" s="446"/>
      <c r="L59" s="412"/>
      <c r="M59" s="412"/>
    </row>
    <row r="60" spans="1:13" ht="11.25" customHeight="1">
      <c r="A60" s="412"/>
      <c r="B60" s="446"/>
      <c r="C60" s="446"/>
      <c r="D60" s="446"/>
      <c r="E60" s="446"/>
      <c r="F60" s="658"/>
      <c r="G60" s="446"/>
      <c r="H60" s="446"/>
      <c r="I60" s="446"/>
      <c r="J60" s="446"/>
      <c r="K60" s="446"/>
      <c r="L60" s="412"/>
      <c r="M60" s="412"/>
    </row>
    <row r="61" spans="1:13">
      <c r="A61" s="412"/>
      <c r="B61" s="446"/>
      <c r="C61" s="446"/>
      <c r="D61" s="446"/>
      <c r="E61" s="446"/>
      <c r="F61" s="658"/>
      <c r="G61" s="446"/>
      <c r="H61" s="446"/>
      <c r="I61" s="446"/>
      <c r="J61" s="446"/>
      <c r="K61" s="446"/>
      <c r="L61" s="412"/>
      <c r="M61" s="412"/>
    </row>
    <row r="62" spans="1:13">
      <c r="A62" s="412"/>
      <c r="B62" s="446"/>
      <c r="C62" s="446"/>
      <c r="D62" s="446"/>
      <c r="E62" s="446"/>
      <c r="F62" s="446"/>
      <c r="G62" s="446"/>
      <c r="H62" s="446"/>
      <c r="I62" s="446"/>
      <c r="J62" s="446"/>
      <c r="K62" s="446"/>
      <c r="L62" s="412"/>
      <c r="M62" s="412"/>
    </row>
    <row r="63" spans="1:13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217" priority="33" operator="greaterThan">
      <formula>0</formula>
    </cfRule>
  </conditionalFormatting>
  <conditionalFormatting sqref="C9">
    <cfRule type="cellIs" dxfId="216" priority="29" operator="greaterThan">
      <formula>0</formula>
    </cfRule>
  </conditionalFormatting>
  <conditionalFormatting sqref="C9">
    <cfRule type="cellIs" dxfId="215" priority="32" operator="greaterThan">
      <formula>0</formula>
    </cfRule>
  </conditionalFormatting>
  <conditionalFormatting sqref="C9">
    <cfRule type="cellIs" dxfId="214" priority="31" operator="greaterThan">
      <formula>0</formula>
    </cfRule>
  </conditionalFormatting>
  <conditionalFormatting sqref="C9">
    <cfRule type="cellIs" dxfId="213" priority="30" operator="greaterThan">
      <formula>0</formula>
    </cfRule>
  </conditionalFormatting>
  <conditionalFormatting sqref="C37:E37">
    <cfRule type="cellIs" dxfId="212" priority="22" operator="greaterThan">
      <formula>0</formula>
    </cfRule>
    <cfRule type="cellIs" dxfId="211" priority="23" operator="greaterThan">
      <formula>0</formula>
    </cfRule>
    <cfRule type="cellIs" dxfId="210" priority="24" operator="greaterThan">
      <formula>0</formula>
    </cfRule>
  </conditionalFormatting>
  <conditionalFormatting sqref="C31:E31">
    <cfRule type="cellIs" dxfId="209" priority="20" operator="greaterThan">
      <formula>0</formula>
    </cfRule>
  </conditionalFormatting>
  <conditionalFormatting sqref="C43:E43">
    <cfRule type="cellIs" dxfId="208" priority="19" operator="greaterThan">
      <formula>0</formula>
    </cfRule>
  </conditionalFormatting>
  <conditionalFormatting sqref="C31:E31">
    <cfRule type="cellIs" dxfId="207" priority="21" operator="greaterThan">
      <formula>0</formula>
    </cfRule>
  </conditionalFormatting>
  <conditionalFormatting sqref="C47:E50">
    <cfRule type="cellIs" dxfId="206" priority="12" operator="greaterThan">
      <formula>0</formula>
    </cfRule>
  </conditionalFormatting>
  <conditionalFormatting sqref="C48:E49">
    <cfRule type="cellIs" dxfId="205" priority="17" operator="greaterThan">
      <formula>0</formula>
    </cfRule>
  </conditionalFormatting>
  <conditionalFormatting sqref="C47:E47">
    <cfRule type="cellIs" dxfId="204" priority="18" operator="greaterThan">
      <formula>0</formula>
    </cfRule>
  </conditionalFormatting>
  <conditionalFormatting sqref="C50:E50">
    <cfRule type="cellIs" dxfId="203" priority="16" operator="greaterThan">
      <formula>0</formula>
    </cfRule>
  </conditionalFormatting>
  <conditionalFormatting sqref="C47:E50">
    <cfRule type="cellIs" dxfId="202" priority="13" operator="greaterThan">
      <formula>0</formula>
    </cfRule>
    <cfRule type="cellIs" dxfId="201" priority="14" operator="greaterThan">
      <formula>0</formula>
    </cfRule>
    <cfRule type="cellIs" dxfId="200" priority="15" operator="greaterThan">
      <formula>0</formula>
    </cfRule>
  </conditionalFormatting>
  <conditionalFormatting sqref="J3:K18">
    <cfRule type="cellIs" dxfId="199" priority="4" operator="greaterThan">
      <formula>0</formula>
    </cfRule>
    <cfRule type="cellIs" dxfId="198" priority="7" operator="greaterThan">
      <formula>0</formula>
    </cfRule>
    <cfRule type="cellIs" dxfId="197" priority="8" operator="greaterThan">
      <formula>0</formula>
    </cfRule>
  </conditionalFormatting>
  <conditionalFormatting sqref="I3:I18">
    <cfRule type="cellIs" dxfId="196" priority="9" operator="equal">
      <formula>"НЕТ"</formula>
    </cfRule>
    <cfRule type="cellIs" dxfId="195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194" priority="6" operator="greaterThan">
      <formula>0</formula>
    </cfRule>
  </conditionalFormatting>
  <conditionalFormatting sqref="C2:C14">
    <cfRule type="cellIs" dxfId="193" priority="5" operator="greaterThan">
      <formula>0</formula>
    </cfRule>
  </conditionalFormatting>
  <conditionalFormatting sqref="E59">
    <cfRule type="cellIs" dxfId="192" priority="3" operator="greaterThan">
      <formula>0</formula>
    </cfRule>
  </conditionalFormatting>
  <conditionalFormatting sqref="C15:C17">
    <cfRule type="cellIs" dxfId="191" priority="2" operator="greaterThan">
      <formula>0</formula>
    </cfRule>
  </conditionalFormatting>
  <conditionalFormatting sqref="C55:E57">
    <cfRule type="cellIs" dxfId="19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613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0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0</v>
      </c>
      <c r="D4" s="1218" t="s">
        <v>128</v>
      </c>
      <c r="E4" s="1219"/>
      <c r="F4" s="1220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 t="shared" ref="K4:K17" si="0"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si="0"/>
        <v>0</v>
      </c>
      <c r="L5" s="412"/>
      <c r="M5" s="412"/>
    </row>
    <row r="6" spans="1:13" ht="12" customHeight="1">
      <c r="A6" s="412"/>
      <c r="B6" s="424" t="s">
        <v>493</v>
      </c>
      <c r="C6" s="609">
        <v>0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521" t="s">
        <v>123</v>
      </c>
      <c r="C10" s="575">
        <v>0</v>
      </c>
      <c r="D10" s="1218" t="s">
        <v>675</v>
      </c>
      <c r="E10" s="1219"/>
      <c r="F10" s="1220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404</v>
      </c>
      <c r="C11" s="472">
        <v>0</v>
      </c>
      <c r="D11" s="440" t="s">
        <v>287</v>
      </c>
      <c r="E11" s="443" t="s">
        <v>255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>
      <c r="A12" s="412"/>
      <c r="B12" s="426" t="s">
        <v>397</v>
      </c>
      <c r="C12" s="469">
        <v>0</v>
      </c>
      <c r="D12" s="427" t="s">
        <v>287</v>
      </c>
      <c r="E12" s="632" t="s">
        <v>255</v>
      </c>
      <c r="F12" s="1187" t="s">
        <v>597</v>
      </c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 thickBot="1">
      <c r="A13" s="412"/>
      <c r="B13" s="419" t="s">
        <v>398</v>
      </c>
      <c r="C13" s="470">
        <v>0</v>
      </c>
      <c r="D13" s="434" t="s">
        <v>287</v>
      </c>
      <c r="E13" s="438" t="s">
        <v>255</v>
      </c>
      <c r="F13" s="1188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>
      <c r="A14" s="412"/>
      <c r="B14" s="414" t="s">
        <v>147</v>
      </c>
      <c r="C14" s="471">
        <v>0</v>
      </c>
      <c r="D14" s="1177" t="s">
        <v>686</v>
      </c>
      <c r="E14" s="1178"/>
      <c r="F14" s="1179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24" t="s">
        <v>146</v>
      </c>
      <c r="C15" s="468">
        <v>0</v>
      </c>
      <c r="D15" s="1180" t="s">
        <v>687</v>
      </c>
      <c r="E15" s="1181"/>
      <c r="F15" s="1182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 thickBot="1">
      <c r="A16" s="412"/>
      <c r="B16" s="419" t="s">
        <v>143</v>
      </c>
      <c r="C16" s="470">
        <v>0</v>
      </c>
      <c r="D16" s="1183" t="s">
        <v>688</v>
      </c>
      <c r="E16" s="1184"/>
      <c r="F16" s="1185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611"/>
      <c r="C17" s="611"/>
      <c r="D17" s="611"/>
      <c r="E17" s="446"/>
      <c r="F17" s="446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ht="12" customHeight="1">
      <c r="A18" s="412"/>
      <c r="B18" s="451" t="s">
        <v>5</v>
      </c>
      <c r="C18" s="452" t="s">
        <v>0</v>
      </c>
      <c r="D18" s="453" t="s">
        <v>4</v>
      </c>
      <c r="E18" s="454" t="s">
        <v>8</v>
      </c>
      <c r="F18" s="446"/>
      <c r="G18" s="446"/>
      <c r="H18" s="446"/>
      <c r="I18" s="446"/>
      <c r="J18" s="446"/>
      <c r="K18" s="446"/>
      <c r="L18" s="412"/>
      <c r="M18" s="412"/>
    </row>
    <row r="19" spans="1:13" ht="12" customHeight="1">
      <c r="A19" s="412"/>
      <c r="B19" s="458" t="s">
        <v>401</v>
      </c>
      <c r="C19" s="354">
        <f>C2*C10</f>
        <v>0</v>
      </c>
      <c r="D19" s="360"/>
      <c r="E19" s="351">
        <f>C19*D19</f>
        <v>0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458" t="s">
        <v>402</v>
      </c>
      <c r="C20" s="354">
        <f>IF(C13=1,C2*C10,0)</f>
        <v>0</v>
      </c>
      <c r="D20" s="360"/>
      <c r="E20" s="351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6" t="s">
        <v>399</v>
      </c>
      <c r="C21" s="349">
        <f>IF(AND(C12=1,C13=0),(C4*C10)*2,0)</f>
        <v>0</v>
      </c>
      <c r="D21" s="3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400</v>
      </c>
      <c r="C22" s="349">
        <f>IF(AND(C12=0,C13=1),C4*C10,0)</f>
        <v>0</v>
      </c>
      <c r="D22" s="360"/>
      <c r="E22" s="351">
        <f>C22*D22</f>
        <v>0</v>
      </c>
      <c r="F22" s="446"/>
      <c r="G22" s="446"/>
      <c r="H22" s="446"/>
      <c r="I22" s="446"/>
      <c r="J22" s="446"/>
      <c r="K22" s="446"/>
      <c r="L22" s="412"/>
      <c r="M22" s="412"/>
    </row>
    <row r="23" spans="1:13" ht="12" customHeight="1">
      <c r="A23" s="412"/>
      <c r="B23" s="458" t="s">
        <v>447</v>
      </c>
      <c r="C23" s="354">
        <f>C10*2</f>
        <v>0</v>
      </c>
      <c r="D23" s="360"/>
      <c r="E23" s="351">
        <f t="shared" ref="E23:E55" si="1"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503</v>
      </c>
      <c r="C24" s="354">
        <f>(C4-1)*C10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6" t="s">
        <v>474</v>
      </c>
      <c r="C25" s="349">
        <f>C2*C10*(C5+C7)</f>
        <v>0</v>
      </c>
      <c r="D25" s="35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480</v>
      </c>
      <c r="C26" s="354">
        <f>C10*C2*(C6+C8)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118</v>
      </c>
      <c r="C27" s="354">
        <f>C2*C10</f>
        <v>0</v>
      </c>
      <c r="D27" s="355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6" t="s">
        <v>451</v>
      </c>
      <c r="C28" s="349">
        <f>C2*C10*(C5+C7)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6" t="s">
        <v>450</v>
      </c>
      <c r="C29" s="349">
        <f>C10*C2*(C6+C8)</f>
        <v>0</v>
      </c>
      <c r="D29" s="403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8" t="s">
        <v>367</v>
      </c>
      <c r="C30" s="354">
        <f>C10*(C5+C7)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725</v>
      </c>
      <c r="C31" s="354">
        <f>C10*(C4*2-2)*(C6+C8)</f>
        <v>0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470</v>
      </c>
      <c r="C32" s="354">
        <f>C10*(C6+C8)</f>
        <v>0</v>
      </c>
      <c r="D32" s="360"/>
      <c r="E32" s="576">
        <f>C32*D32</f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8" t="s">
        <v>504</v>
      </c>
      <c r="C33" s="354">
        <f>(C4-1)*C10</f>
        <v>0</v>
      </c>
      <c r="D33" s="355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8" t="s">
        <v>505</v>
      </c>
      <c r="C34" s="354">
        <f>(C4-1)*C10</f>
        <v>0</v>
      </c>
      <c r="D34" s="355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828</v>
      </c>
      <c r="C35" s="354">
        <f>C10</f>
        <v>0</v>
      </c>
      <c r="D35" s="355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634</v>
      </c>
      <c r="C36" s="354">
        <f>EVEN(ROUNDDOWN(IF(C11=1,(C2/0.5)*C10,0),0))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479</v>
      </c>
      <c r="C37" s="354">
        <f>EVEN(ROUNDDOWN(IF(C11=0,(C33/0.5)*C10,0),0))</f>
        <v>0</v>
      </c>
      <c r="D37" s="355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630</v>
      </c>
      <c r="C38" s="354">
        <f>C2*C10</f>
        <v>0</v>
      </c>
      <c r="D38" s="355"/>
      <c r="E38" s="351">
        <f t="shared" si="1"/>
        <v>0</v>
      </c>
      <c r="F38" s="460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631</v>
      </c>
      <c r="C39" s="354">
        <f>C2*C10</f>
        <v>0</v>
      </c>
      <c r="D39" s="355"/>
      <c r="E39" s="351">
        <f t="shared" si="1"/>
        <v>0</v>
      </c>
      <c r="F39" s="649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632</v>
      </c>
      <c r="C40" s="354">
        <f>C10</f>
        <v>0</v>
      </c>
      <c r="D40" s="355"/>
      <c r="E40" s="351">
        <f t="shared" si="1"/>
        <v>0</v>
      </c>
      <c r="F40" s="654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8" t="s">
        <v>633</v>
      </c>
      <c r="C41" s="354">
        <f>C10</f>
        <v>0</v>
      </c>
      <c r="D41" s="355"/>
      <c r="E41" s="351">
        <f t="shared" si="1"/>
        <v>0</v>
      </c>
      <c r="F41" s="654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9" t="s">
        <v>506</v>
      </c>
      <c r="C42" s="361">
        <f>(C4-1)*C10</f>
        <v>0</v>
      </c>
      <c r="D42" s="355"/>
      <c r="E42" s="351">
        <f t="shared" si="1"/>
        <v>0</v>
      </c>
      <c r="F42" s="654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9" t="s">
        <v>507</v>
      </c>
      <c r="C43" s="361">
        <f>(C4-1)*C10</f>
        <v>0</v>
      </c>
      <c r="D43" s="355">
        <v>1</v>
      </c>
      <c r="E43" s="351">
        <f t="shared" si="1"/>
        <v>0</v>
      </c>
      <c r="F43" s="655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378</v>
      </c>
      <c r="C44" s="406">
        <f>C8*C10</f>
        <v>0</v>
      </c>
      <c r="D44" s="360"/>
      <c r="E44" s="407">
        <f t="shared" si="1"/>
        <v>0</v>
      </c>
      <c r="F44" s="655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386</v>
      </c>
      <c r="C45" s="406">
        <f>C6*C10</f>
        <v>0</v>
      </c>
      <c r="D45" s="360"/>
      <c r="E45" s="407">
        <f t="shared" si="1"/>
        <v>0</v>
      </c>
      <c r="F45" s="655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9" t="s">
        <v>387</v>
      </c>
      <c r="C46" s="406">
        <f>C6*C10</f>
        <v>0</v>
      </c>
      <c r="D46" s="360"/>
      <c r="E46" s="407">
        <f t="shared" si="1"/>
        <v>0</v>
      </c>
      <c r="F46" s="655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377</v>
      </c>
      <c r="C47" s="406">
        <f>C7*C10</f>
        <v>0</v>
      </c>
      <c r="D47" s="360"/>
      <c r="E47" s="407">
        <f t="shared" si="1"/>
        <v>0</v>
      </c>
      <c r="F47" s="655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454</v>
      </c>
      <c r="C48" s="361">
        <f>(C5+C6)*C10</f>
        <v>0</v>
      </c>
      <c r="D48" s="355"/>
      <c r="E48" s="351">
        <f t="shared" si="1"/>
        <v>0</v>
      </c>
      <c r="F48" s="655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375</v>
      </c>
      <c r="C49" s="361">
        <f>C6*C10</f>
        <v>0</v>
      </c>
      <c r="D49" s="355"/>
      <c r="E49" s="351">
        <f t="shared" si="1"/>
        <v>0</v>
      </c>
      <c r="F49" s="655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495</v>
      </c>
      <c r="C50" s="361">
        <f>C6*C10</f>
        <v>0</v>
      </c>
      <c r="D50" s="355"/>
      <c r="E50" s="351">
        <f t="shared" si="1"/>
        <v>0</v>
      </c>
      <c r="F50" s="649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380</v>
      </c>
      <c r="C51" s="361">
        <f>C5*C10</f>
        <v>0</v>
      </c>
      <c r="D51" s="355"/>
      <c r="E51" s="351">
        <f t="shared" si="1"/>
        <v>0</v>
      </c>
      <c r="F51" s="654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532" t="s">
        <v>145</v>
      </c>
      <c r="C52" s="513">
        <f>C15</f>
        <v>0</v>
      </c>
      <c r="D52" s="529"/>
      <c r="E52" s="407">
        <f t="shared" si="1"/>
        <v>0</v>
      </c>
      <c r="F52" s="654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532" t="s">
        <v>148</v>
      </c>
      <c r="C53" s="513">
        <f>C14</f>
        <v>0</v>
      </c>
      <c r="D53" s="529"/>
      <c r="E53" s="407">
        <f t="shared" si="1"/>
        <v>0</v>
      </c>
      <c r="F53" s="654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532" t="s">
        <v>689</v>
      </c>
      <c r="C54" s="513">
        <f>C16</f>
        <v>0</v>
      </c>
      <c r="D54" s="529"/>
      <c r="E54" s="407">
        <f t="shared" si="1"/>
        <v>0</v>
      </c>
      <c r="F54" s="654"/>
      <c r="G54" s="446"/>
      <c r="H54" s="446"/>
      <c r="I54" s="446"/>
      <c r="J54" s="446"/>
      <c r="K54" s="446"/>
      <c r="L54" s="412"/>
      <c r="M54" s="412"/>
    </row>
    <row r="55" spans="1:13" ht="12" customHeight="1" thickBot="1">
      <c r="A55" s="412"/>
      <c r="B55" s="461" t="s">
        <v>829</v>
      </c>
      <c r="C55" s="409">
        <f>C5*C10</f>
        <v>0</v>
      </c>
      <c r="D55" s="410"/>
      <c r="E55" s="411">
        <f t="shared" si="1"/>
        <v>0</v>
      </c>
      <c r="F55" s="654"/>
      <c r="G55" s="446"/>
      <c r="H55" s="446"/>
      <c r="I55" s="446"/>
      <c r="J55" s="446"/>
      <c r="K55" s="446"/>
      <c r="L55" s="412"/>
      <c r="M55" s="412"/>
    </row>
    <row r="56" spans="1:13" ht="12" customHeight="1" thickBot="1">
      <c r="A56" s="412"/>
      <c r="B56" s="446"/>
      <c r="C56" s="446"/>
      <c r="D56" s="462" t="s">
        <v>9</v>
      </c>
      <c r="E56" s="534">
        <f>SUMIF(E19:E55,"&gt;0",E19:E55)</f>
        <v>0</v>
      </c>
      <c r="F56" s="654"/>
      <c r="G56" s="446"/>
      <c r="H56" s="446"/>
      <c r="I56" s="446"/>
      <c r="J56" s="446"/>
      <c r="K56" s="446"/>
      <c r="L56" s="412"/>
      <c r="M56" s="412"/>
    </row>
    <row r="57" spans="1:13">
      <c r="A57" s="412"/>
      <c r="B57" s="446"/>
      <c r="C57" s="446"/>
      <c r="D57" s="446"/>
      <c r="E57" s="446"/>
      <c r="F57" s="655"/>
      <c r="G57" s="446"/>
      <c r="H57" s="446"/>
      <c r="I57" s="446"/>
      <c r="J57" s="446"/>
      <c r="K57" s="446"/>
      <c r="L57" s="412"/>
      <c r="M57" s="412"/>
    </row>
    <row r="58" spans="1:13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  <c r="L58" s="412"/>
      <c r="M58" s="412"/>
    </row>
    <row r="59" spans="1:13" ht="11.25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  <c r="M60" s="412"/>
    </row>
    <row r="61" spans="1:13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  <c r="M61" s="412"/>
    </row>
    <row r="62" spans="1:13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  <c r="M62" s="412"/>
    </row>
    <row r="63" spans="1:13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189" priority="34" operator="greaterThan">
      <formula>0</formula>
    </cfRule>
  </conditionalFormatting>
  <conditionalFormatting sqref="C9">
    <cfRule type="cellIs" dxfId="188" priority="30" operator="greaterThan">
      <formula>0</formula>
    </cfRule>
  </conditionalFormatting>
  <conditionalFormatting sqref="C9">
    <cfRule type="cellIs" dxfId="187" priority="33" operator="greaterThan">
      <formula>0</formula>
    </cfRule>
  </conditionalFormatting>
  <conditionalFormatting sqref="C9">
    <cfRule type="cellIs" dxfId="186" priority="32" operator="greaterThan">
      <formula>0</formula>
    </cfRule>
  </conditionalFormatting>
  <conditionalFormatting sqref="C9">
    <cfRule type="cellIs" dxfId="185" priority="31" operator="greaterThan">
      <formula>0</formula>
    </cfRule>
  </conditionalFormatting>
  <conditionalFormatting sqref="C2:C9">
    <cfRule type="cellIs" dxfId="184" priority="29" operator="greaterThan">
      <formula>0</formula>
    </cfRule>
  </conditionalFormatting>
  <conditionalFormatting sqref="C26:E26">
    <cfRule type="cellIs" dxfId="183" priority="26" operator="greaterThan">
      <formula>0</formula>
    </cfRule>
  </conditionalFormatting>
  <conditionalFormatting sqref="C29:E29">
    <cfRule type="cellIs" dxfId="182" priority="25" operator="greaterThan">
      <formula>0</formula>
    </cfRule>
  </conditionalFormatting>
  <conditionalFormatting sqref="C32:E32">
    <cfRule type="cellIs" dxfId="181" priority="21" operator="greaterThan">
      <formula>0</formula>
    </cfRule>
  </conditionalFormatting>
  <conditionalFormatting sqref="C26:E26">
    <cfRule type="cellIs" dxfId="180" priority="27" operator="greaterThan">
      <formula>0</formula>
    </cfRule>
  </conditionalFormatting>
  <conditionalFormatting sqref="C26:E26">
    <cfRule type="cellIs" dxfId="179" priority="28" operator="greaterThan">
      <formula>0</formula>
    </cfRule>
  </conditionalFormatting>
  <conditionalFormatting sqref="C32:E32">
    <cfRule type="cellIs" dxfId="178" priority="22" operator="greaterThan">
      <formula>0</formula>
    </cfRule>
    <cfRule type="cellIs" dxfId="177" priority="23" operator="greaterThan">
      <formula>0</formula>
    </cfRule>
    <cfRule type="cellIs" dxfId="176" priority="24" operator="greaterThan">
      <formula>0</formula>
    </cfRule>
  </conditionalFormatting>
  <conditionalFormatting sqref="C44:E47">
    <cfRule type="cellIs" dxfId="175" priority="14" operator="greaterThan">
      <formula>0</formula>
    </cfRule>
  </conditionalFormatting>
  <conditionalFormatting sqref="C45:E46">
    <cfRule type="cellIs" dxfId="174" priority="19" operator="greaterThan">
      <formula>0</formula>
    </cfRule>
  </conditionalFormatting>
  <conditionalFormatting sqref="C44:E44">
    <cfRule type="cellIs" dxfId="173" priority="20" operator="greaterThan">
      <formula>0</formula>
    </cfRule>
  </conditionalFormatting>
  <conditionalFormatting sqref="C47:E47">
    <cfRule type="cellIs" dxfId="172" priority="18" operator="greaterThan">
      <formula>0</formula>
    </cfRule>
  </conditionalFormatting>
  <conditionalFormatting sqref="C44:E47">
    <cfRule type="cellIs" dxfId="171" priority="15" operator="greaterThan">
      <formula>0</formula>
    </cfRule>
    <cfRule type="cellIs" dxfId="170" priority="16" operator="greaterThan">
      <formula>0</formula>
    </cfRule>
    <cfRule type="cellIs" dxfId="169" priority="17" operator="greaterThan">
      <formula>0</formula>
    </cfRule>
  </conditionalFormatting>
  <conditionalFormatting sqref="C44:E47">
    <cfRule type="cellIs" dxfId="168" priority="13" operator="greaterThan">
      <formula>0</formula>
    </cfRule>
  </conditionalFormatting>
  <conditionalFormatting sqref="J3:K17">
    <cfRule type="cellIs" dxfId="167" priority="3" operator="greaterThan">
      <formula>0</formula>
    </cfRule>
    <cfRule type="cellIs" dxfId="166" priority="7" operator="greaterThan">
      <formula>0</formula>
    </cfRule>
    <cfRule type="cellIs" dxfId="165" priority="8" operator="greaterThan">
      <formula>0</formula>
    </cfRule>
    <cfRule type="cellIs" dxfId="164" priority="9" operator="greaterThan">
      <formula>0</formula>
    </cfRule>
  </conditionalFormatting>
  <conditionalFormatting sqref="I3:I17">
    <cfRule type="cellIs" dxfId="163" priority="10" operator="equal">
      <formula>"НЕТ"</formula>
    </cfRule>
    <cfRule type="cellIs" dxfId="162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161" priority="6" operator="greaterThan">
      <formula>0</formula>
    </cfRule>
  </conditionalFormatting>
  <conditionalFormatting sqref="C19:E51 C55:E55">
    <cfRule type="cellIs" dxfId="160" priority="5" operator="greaterThan">
      <formula>0</formula>
    </cfRule>
  </conditionalFormatting>
  <conditionalFormatting sqref="E56">
    <cfRule type="cellIs" dxfId="159" priority="4" operator="greaterThan">
      <formula>0</formula>
    </cfRule>
  </conditionalFormatting>
  <conditionalFormatting sqref="C14:C16">
    <cfRule type="cellIs" dxfId="158" priority="2" operator="greaterThan">
      <formula>0</formula>
    </cfRule>
  </conditionalFormatting>
  <conditionalFormatting sqref="C52:E54">
    <cfRule type="cellIs" dxfId="15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21" activePane="bottomLeft" state="frozen"/>
      <selection pane="bottomLeft" activeCell="C47" sqref="C47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</row>
    <row r="2" spans="1:11" ht="12" customHeight="1" thickBot="1">
      <c r="A2" s="412"/>
      <c r="B2" s="414" t="s">
        <v>666</v>
      </c>
      <c r="C2" s="598">
        <v>2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</row>
    <row r="3" spans="1:11" ht="12" customHeight="1" thickBot="1">
      <c r="A3" s="412"/>
      <c r="B3" s="419" t="s">
        <v>667</v>
      </c>
      <c r="C3" s="466">
        <v>4</v>
      </c>
      <c r="D3" s="1169"/>
      <c r="E3" s="1170"/>
      <c r="F3" s="1171"/>
      <c r="G3" s="446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</row>
    <row r="4" spans="1:11" ht="12" customHeight="1">
      <c r="A4" s="412"/>
      <c r="B4" s="414" t="s">
        <v>509</v>
      </c>
      <c r="C4" s="593">
        <v>2</v>
      </c>
      <c r="D4" s="1229" t="s">
        <v>128</v>
      </c>
      <c r="E4" s="1230"/>
      <c r="F4" s="1231"/>
      <c r="G4" s="446"/>
      <c r="H4" s="425" t="s">
        <v>486</v>
      </c>
      <c r="I4" s="631" t="str">
        <f>IF(AND($C$6+$C$7=1,$C$8+$C$9=0,$C$10=3),"ДА","НЕТ")</f>
        <v>НЕТ</v>
      </c>
      <c r="J4" s="332"/>
      <c r="K4" s="326">
        <f t="shared" ref="K4:K15" si="0">IF(I4="ДА",($C$4+$C$5)*J4,0)</f>
        <v>0</v>
      </c>
    </row>
    <row r="5" spans="1:11" ht="12" customHeight="1" thickBot="1">
      <c r="A5" s="412"/>
      <c r="B5" s="447" t="s">
        <v>510</v>
      </c>
      <c r="C5" s="595">
        <v>0</v>
      </c>
      <c r="D5" s="1235"/>
      <c r="E5" s="1236"/>
      <c r="F5" s="1237"/>
      <c r="G5" s="446"/>
      <c r="H5" s="425" t="s">
        <v>591</v>
      </c>
      <c r="I5" s="631" t="str">
        <f>IF(AND($C$6+$C$7=1,$C$8+$C$9=0,$C$10=3),"ДА","НЕТ")</f>
        <v>НЕТ</v>
      </c>
      <c r="J5" s="332"/>
      <c r="K5" s="326">
        <f t="shared" si="0"/>
        <v>0</v>
      </c>
    </row>
    <row r="6" spans="1:11" ht="12" customHeight="1">
      <c r="A6" s="412"/>
      <c r="B6" s="414" t="s">
        <v>498</v>
      </c>
      <c r="C6" s="614">
        <v>1</v>
      </c>
      <c r="D6" s="427" t="s">
        <v>287</v>
      </c>
      <c r="E6" s="632" t="s">
        <v>255</v>
      </c>
      <c r="F6" s="1175" t="s">
        <v>597</v>
      </c>
      <c r="G6" s="446"/>
      <c r="H6" s="425" t="s">
        <v>487</v>
      </c>
      <c r="I6" s="631" t="str">
        <f>IF(AND($C$6+$C$7=1,$C$8+$C$9=0,$C$10=2),"ДА","НЕТ")</f>
        <v>ДА</v>
      </c>
      <c r="J6" s="332"/>
      <c r="K6" s="326">
        <f t="shared" si="0"/>
        <v>0</v>
      </c>
    </row>
    <row r="7" spans="1:11" ht="12" customHeight="1">
      <c r="A7" s="412"/>
      <c r="B7" s="424" t="s">
        <v>499</v>
      </c>
      <c r="C7" s="468">
        <v>0</v>
      </c>
      <c r="D7" s="431" t="s">
        <v>287</v>
      </c>
      <c r="E7" s="651" t="s">
        <v>255</v>
      </c>
      <c r="F7" s="1175"/>
      <c r="G7" s="446"/>
      <c r="H7" s="425" t="s">
        <v>488</v>
      </c>
      <c r="I7" s="631" t="str">
        <f>IF(AND($C$6+$C$7=1,$C$8+$C$9=0,$C$10=2),"ДА","НЕТ")</f>
        <v>ДА</v>
      </c>
      <c r="J7" s="332"/>
      <c r="K7" s="326">
        <f t="shared" si="0"/>
        <v>0</v>
      </c>
    </row>
    <row r="8" spans="1:11" ht="12" customHeight="1">
      <c r="A8" s="412"/>
      <c r="B8" s="426" t="s">
        <v>500</v>
      </c>
      <c r="C8" s="469">
        <v>0</v>
      </c>
      <c r="D8" s="429" t="s">
        <v>287</v>
      </c>
      <c r="E8" s="697" t="s">
        <v>255</v>
      </c>
      <c r="F8" s="1175"/>
      <c r="G8" s="446"/>
      <c r="H8" s="425" t="s">
        <v>494</v>
      </c>
      <c r="I8" s="631" t="str">
        <f>IF(AND($C$6+$C$7=1,$C$8+$C$9=0,$C$10=2),"ДА","НЕТ")</f>
        <v>ДА</v>
      </c>
      <c r="J8" s="332"/>
      <c r="K8" s="326">
        <f t="shared" si="0"/>
        <v>0</v>
      </c>
    </row>
    <row r="9" spans="1:11" ht="12" customHeight="1" thickBot="1">
      <c r="A9" s="412"/>
      <c r="B9" s="419" t="s">
        <v>501</v>
      </c>
      <c r="C9" s="470">
        <v>0</v>
      </c>
      <c r="D9" s="434" t="s">
        <v>287</v>
      </c>
      <c r="E9" s="726" t="s">
        <v>255</v>
      </c>
      <c r="F9" s="1176"/>
      <c r="G9" s="446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</row>
    <row r="10" spans="1:11" ht="12" customHeight="1" thickBot="1">
      <c r="A10" s="412"/>
      <c r="B10" s="436" t="s">
        <v>589</v>
      </c>
      <c r="C10" s="555">
        <v>2</v>
      </c>
      <c r="D10" s="440" t="s">
        <v>619</v>
      </c>
      <c r="E10" s="727" t="s">
        <v>620</v>
      </c>
      <c r="F10" s="443" t="s">
        <v>621</v>
      </c>
      <c r="G10" s="446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</row>
    <row r="11" spans="1:11" ht="12" customHeight="1" thickBot="1">
      <c r="A11" s="412"/>
      <c r="B11" s="422" t="s">
        <v>393</v>
      </c>
      <c r="C11" s="467">
        <v>0</v>
      </c>
      <c r="D11" s="707" t="s">
        <v>394</v>
      </c>
      <c r="E11" s="725" t="s">
        <v>395</v>
      </c>
      <c r="F11" s="1242"/>
      <c r="G11" s="446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</row>
    <row r="12" spans="1:11" ht="12" customHeight="1" thickBot="1">
      <c r="A12" s="412"/>
      <c r="B12" s="436" t="s">
        <v>358</v>
      </c>
      <c r="C12" s="472">
        <v>0</v>
      </c>
      <c r="D12" s="440" t="s">
        <v>417</v>
      </c>
      <c r="E12" s="443" t="s">
        <v>418</v>
      </c>
      <c r="F12" s="1243"/>
      <c r="G12" s="446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</row>
    <row r="13" spans="1:11" ht="12" customHeight="1" thickBot="1">
      <c r="A13" s="412"/>
      <c r="B13" s="436" t="s">
        <v>123</v>
      </c>
      <c r="C13" s="573">
        <v>2</v>
      </c>
      <c r="D13" s="1218" t="s">
        <v>675</v>
      </c>
      <c r="E13" s="1219"/>
      <c r="F13" s="1220"/>
      <c r="G13" s="446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</row>
    <row r="14" spans="1:11" ht="12" customHeight="1" thickBot="1">
      <c r="A14" s="412"/>
      <c r="B14" s="698" t="s">
        <v>502</v>
      </c>
      <c r="C14" s="595">
        <v>0</v>
      </c>
      <c r="D14" s="1218" t="s">
        <v>540</v>
      </c>
      <c r="E14" s="1219"/>
      <c r="F14" s="1220"/>
      <c r="G14" s="446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</row>
    <row r="15" spans="1:11" ht="12" customHeight="1" thickBot="1">
      <c r="A15" s="412"/>
      <c r="B15" s="426" t="s">
        <v>397</v>
      </c>
      <c r="C15" s="469">
        <v>0</v>
      </c>
      <c r="D15" s="427" t="s">
        <v>287</v>
      </c>
      <c r="E15" s="632" t="s">
        <v>255</v>
      </c>
      <c r="F15" s="1187" t="s">
        <v>597</v>
      </c>
      <c r="G15" s="446"/>
      <c r="H15" s="444" t="s">
        <v>390</v>
      </c>
      <c r="I15" s="641" t="str">
        <f>IF(AND($C$6+$C$7=0,$C$8+$C$9=1,$C$10=2),"ДА","НЕТ")</f>
        <v>НЕТ</v>
      </c>
      <c r="J15" s="339"/>
      <c r="K15" s="482">
        <f t="shared" si="0"/>
        <v>0</v>
      </c>
    </row>
    <row r="16" spans="1:11" ht="12" customHeight="1" thickBot="1">
      <c r="A16" s="412"/>
      <c r="B16" s="419" t="s">
        <v>398</v>
      </c>
      <c r="C16" s="470">
        <v>1</v>
      </c>
      <c r="D16" s="434" t="s">
        <v>287</v>
      </c>
      <c r="E16" s="726" t="s">
        <v>255</v>
      </c>
      <c r="F16" s="1188"/>
      <c r="G16" s="446"/>
      <c r="H16" s="446"/>
      <c r="I16" s="446"/>
      <c r="J16" s="446"/>
      <c r="K16" s="446"/>
    </row>
    <row r="17" spans="1:11" ht="12" customHeigh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6"/>
      <c r="I17" s="446"/>
      <c r="J17" s="446"/>
      <c r="K17" s="446"/>
    </row>
    <row r="18" spans="1:11" ht="12" customHeight="1" thickBot="1">
      <c r="A18" s="412"/>
      <c r="B18" s="419" t="s">
        <v>146</v>
      </c>
      <c r="C18" s="470">
        <v>0</v>
      </c>
      <c r="D18" s="1183" t="s">
        <v>687</v>
      </c>
      <c r="E18" s="1184"/>
      <c r="F18" s="1185"/>
      <c r="G18" s="446"/>
      <c r="H18" s="446"/>
      <c r="I18" s="446"/>
      <c r="J18" s="446"/>
      <c r="K18" s="446"/>
    </row>
    <row r="19" spans="1:11" ht="12" customHeight="1" thickBot="1">
      <c r="A19" s="412"/>
      <c r="B19" s="646"/>
      <c r="C19" s="646"/>
      <c r="D19" s="646"/>
      <c r="E19" s="646"/>
      <c r="F19" s="446"/>
      <c r="G19" s="446"/>
      <c r="H19" s="446"/>
      <c r="I19" s="446"/>
      <c r="J19" s="446"/>
      <c r="K19" s="446"/>
    </row>
    <row r="20" spans="1:11" ht="12" customHeight="1" thickBot="1">
      <c r="A20" s="412"/>
      <c r="B20" s="501" t="s">
        <v>5</v>
      </c>
      <c r="C20" s="502" t="s">
        <v>0</v>
      </c>
      <c r="D20" s="503" t="s">
        <v>4</v>
      </c>
      <c r="E20" s="504" t="s">
        <v>8</v>
      </c>
      <c r="F20" s="446"/>
      <c r="G20" s="446"/>
      <c r="H20" s="446"/>
      <c r="I20" s="446"/>
      <c r="J20" s="446"/>
      <c r="K20" s="446"/>
    </row>
    <row r="21" spans="1:11" ht="12" customHeight="1">
      <c r="A21" s="412"/>
      <c r="B21" s="458" t="s">
        <v>401</v>
      </c>
      <c r="C21" s="354">
        <f>C2*C13</f>
        <v>4</v>
      </c>
      <c r="D21" s="360"/>
      <c r="E21" s="351">
        <f t="shared" ref="E21:E26" si="1">C21*D21</f>
        <v>0</v>
      </c>
      <c r="F21" s="446"/>
      <c r="G21" s="446"/>
      <c r="H21" s="446"/>
      <c r="I21" s="446"/>
      <c r="J21" s="446"/>
      <c r="K21" s="446"/>
    </row>
    <row r="22" spans="1:11" ht="12" customHeight="1">
      <c r="A22" s="412"/>
      <c r="B22" s="458" t="s">
        <v>402</v>
      </c>
      <c r="C22" s="354">
        <f>IF(C16=1,C2*C13,0)</f>
        <v>4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</row>
    <row r="23" spans="1:11" ht="12" customHeight="1">
      <c r="A23" s="412"/>
      <c r="B23" s="456" t="s">
        <v>399</v>
      </c>
      <c r="C23" s="349">
        <f>IF(AND(C15=1,C16=0),(C4+C5)*C13*2,0)</f>
        <v>0</v>
      </c>
      <c r="D23" s="360"/>
      <c r="E23" s="351">
        <f t="shared" si="1"/>
        <v>0</v>
      </c>
      <c r="F23" s="446"/>
      <c r="G23" s="446"/>
      <c r="H23" s="446"/>
      <c r="I23" s="446"/>
      <c r="J23" s="446"/>
      <c r="K23" s="446"/>
    </row>
    <row r="24" spans="1:11" ht="12" customHeight="1">
      <c r="A24" s="412"/>
      <c r="B24" s="456" t="s">
        <v>400</v>
      </c>
      <c r="C24" s="349">
        <f>IF(AND(C15=0,C16=1),(C4+C5)*C13,0)</f>
        <v>4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</row>
    <row r="25" spans="1:11" ht="12" customHeight="1">
      <c r="A25" s="412"/>
      <c r="B25" s="458" t="s">
        <v>419</v>
      </c>
      <c r="C25" s="354">
        <f>EVEN(ROUNDDOWN(IF(C13&gt;0,(C2/0.5)*C13,0),0))</f>
        <v>8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</row>
    <row r="26" spans="1:11" ht="12" customHeight="1">
      <c r="A26" s="412"/>
      <c r="B26" s="456" t="s">
        <v>422</v>
      </c>
      <c r="C26" s="361">
        <f>C2*C13</f>
        <v>4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</row>
    <row r="27" spans="1:11" ht="12" customHeight="1">
      <c r="A27" s="412"/>
      <c r="B27" s="458" t="s">
        <v>420</v>
      </c>
      <c r="C27" s="354">
        <f>IF(AND(C6+C7&gt;0,C8+C9=0,C12=0),C13*2,0)</f>
        <v>4</v>
      </c>
      <c r="D27" s="360"/>
      <c r="E27" s="351">
        <f t="shared" ref="E27:E56" si="2">C27*D27</f>
        <v>0</v>
      </c>
      <c r="F27" s="446"/>
      <c r="G27" s="446"/>
      <c r="H27" s="446"/>
      <c r="I27" s="446"/>
      <c r="J27" s="446"/>
      <c r="K27" s="446"/>
    </row>
    <row r="28" spans="1:11" ht="12" customHeight="1">
      <c r="A28" s="412"/>
      <c r="B28" s="458" t="s">
        <v>421</v>
      </c>
      <c r="C28" s="357">
        <f>IF(AND(C6+C7&gt;0,C8+C9=0,C12=1),C13*2,0)</f>
        <v>0</v>
      </c>
      <c r="D28" s="405"/>
      <c r="E28" s="351">
        <f t="shared" si="2"/>
        <v>0</v>
      </c>
      <c r="F28" s="446"/>
      <c r="G28" s="446"/>
      <c r="H28" s="446"/>
      <c r="I28" s="446"/>
      <c r="J28" s="446"/>
      <c r="K28" s="446"/>
    </row>
    <row r="29" spans="1:11" ht="12" customHeight="1">
      <c r="A29" s="412"/>
      <c r="B29" s="458" t="s">
        <v>420</v>
      </c>
      <c r="C29" s="354">
        <f>IF(AND(C6+C7=0,C8+C9&gt;0,C12=0),C13,0)</f>
        <v>0</v>
      </c>
      <c r="D29" s="360"/>
      <c r="E29" s="351">
        <f t="shared" si="2"/>
        <v>0</v>
      </c>
      <c r="F29" s="446"/>
      <c r="G29" s="446"/>
      <c r="H29" s="446"/>
      <c r="I29" s="446"/>
      <c r="J29" s="446"/>
      <c r="K29" s="446"/>
    </row>
    <row r="30" spans="1:11" ht="12" customHeight="1">
      <c r="A30" s="412"/>
      <c r="B30" s="458" t="s">
        <v>421</v>
      </c>
      <c r="C30" s="357">
        <f>IF(AND(C6+C7=0,C8+C9&gt;0,C12=1),C13,0)</f>
        <v>0</v>
      </c>
      <c r="D30" s="405"/>
      <c r="E30" s="351">
        <f t="shared" si="2"/>
        <v>0</v>
      </c>
      <c r="F30" s="446"/>
      <c r="G30" s="446"/>
      <c r="H30" s="446"/>
      <c r="I30" s="446"/>
      <c r="J30" s="446"/>
      <c r="K30" s="446"/>
    </row>
    <row r="31" spans="1:11" ht="12" customHeight="1">
      <c r="A31" s="412"/>
      <c r="B31" s="458" t="s">
        <v>513</v>
      </c>
      <c r="C31" s="354">
        <f>IF(AND(C6+C7&gt;0,C8+C9=0,C12=0),(((C4+C5)-1)+C14)*C13,0)</f>
        <v>2</v>
      </c>
      <c r="D31" s="360"/>
      <c r="E31" s="351">
        <f t="shared" si="2"/>
        <v>0</v>
      </c>
      <c r="F31" s="446"/>
      <c r="G31" s="446"/>
      <c r="H31" s="446"/>
      <c r="I31" s="446"/>
      <c r="J31" s="446"/>
      <c r="K31" s="446"/>
    </row>
    <row r="32" spans="1:11" ht="12" customHeight="1">
      <c r="A32" s="412"/>
      <c r="B32" s="458" t="s">
        <v>512</v>
      </c>
      <c r="C32" s="357">
        <f>IF(AND(C6+C7&gt;0,C8+C9=0,C12=1),(((C4+C5)-1)+C14)*C13,0)</f>
        <v>0</v>
      </c>
      <c r="D32" s="405"/>
      <c r="E32" s="351">
        <f t="shared" si="2"/>
        <v>0</v>
      </c>
      <c r="F32" s="446"/>
      <c r="G32" s="446"/>
      <c r="H32" s="446"/>
      <c r="I32" s="446"/>
      <c r="J32" s="446"/>
      <c r="K32" s="446"/>
    </row>
    <row r="33" spans="1:11" ht="12" customHeight="1">
      <c r="A33" s="412"/>
      <c r="B33" s="458" t="s">
        <v>513</v>
      </c>
      <c r="C33" s="354">
        <f>IF(AND(C6+C7=0,C8+C9&gt;0,C12=0),((C4+C5)+C14)*C13,0)</f>
        <v>0</v>
      </c>
      <c r="D33" s="360"/>
      <c r="E33" s="351">
        <f t="shared" si="2"/>
        <v>0</v>
      </c>
      <c r="F33" s="446"/>
      <c r="G33" s="446"/>
      <c r="H33" s="446"/>
      <c r="I33" s="446"/>
      <c r="J33" s="446"/>
      <c r="K33" s="446"/>
    </row>
    <row r="34" spans="1:11" ht="12" customHeight="1">
      <c r="A34" s="412"/>
      <c r="B34" s="458" t="s">
        <v>512</v>
      </c>
      <c r="C34" s="357">
        <f>IF(AND(C6+C7=0,C8+C9&gt;0,C12=1),((C4+C5)+C14)*C13,0)</f>
        <v>0</v>
      </c>
      <c r="D34" s="405"/>
      <c r="E34" s="351">
        <f t="shared" si="2"/>
        <v>0</v>
      </c>
      <c r="F34" s="446"/>
      <c r="G34" s="446"/>
      <c r="H34" s="446"/>
      <c r="I34" s="446"/>
      <c r="J34" s="446"/>
      <c r="K34" s="446"/>
    </row>
    <row r="35" spans="1:11" ht="12" customHeight="1">
      <c r="A35" s="412"/>
      <c r="B35" s="456" t="s">
        <v>680</v>
      </c>
      <c r="C35" s="357">
        <f>C13*2</f>
        <v>4</v>
      </c>
      <c r="D35" s="405"/>
      <c r="E35" s="351">
        <f t="shared" si="2"/>
        <v>0</v>
      </c>
      <c r="F35" s="446"/>
      <c r="G35" s="446"/>
      <c r="H35" s="446"/>
      <c r="I35" s="446"/>
      <c r="J35" s="446"/>
      <c r="K35" s="446"/>
    </row>
    <row r="36" spans="1:11" ht="12" customHeight="1">
      <c r="A36" s="412"/>
      <c r="B36" s="458" t="s">
        <v>514</v>
      </c>
      <c r="C36" s="354">
        <f>((C4+C5)-1)*C13</f>
        <v>2</v>
      </c>
      <c r="D36" s="360"/>
      <c r="E36" s="351">
        <f t="shared" si="2"/>
        <v>0</v>
      </c>
      <c r="F36" s="446"/>
      <c r="G36" s="446"/>
      <c r="H36" s="446"/>
      <c r="I36" s="446"/>
      <c r="J36" s="446"/>
      <c r="K36" s="446"/>
    </row>
    <row r="37" spans="1:11" ht="12" customHeight="1">
      <c r="A37" s="412"/>
      <c r="B37" s="687" t="s">
        <v>424</v>
      </c>
      <c r="C37" s="406">
        <f>((C4+C5)+1+C14)*C13*2</f>
        <v>12</v>
      </c>
      <c r="D37" s="269"/>
      <c r="E37" s="279">
        <v>0</v>
      </c>
      <c r="F37" s="446"/>
      <c r="G37" s="446"/>
      <c r="H37" s="446"/>
      <c r="I37" s="446"/>
      <c r="J37" s="446"/>
      <c r="K37" s="446"/>
    </row>
    <row r="38" spans="1:11" ht="12" customHeight="1">
      <c r="A38" s="412"/>
      <c r="B38" s="459" t="s">
        <v>506</v>
      </c>
      <c r="C38" s="406">
        <f>((C4+C5)-1+C14)*C13</f>
        <v>2</v>
      </c>
      <c r="D38" s="360"/>
      <c r="E38" s="407">
        <f t="shared" si="2"/>
        <v>0</v>
      </c>
      <c r="F38" s="446"/>
      <c r="G38" s="446"/>
      <c r="H38" s="446"/>
      <c r="I38" s="446"/>
      <c r="J38" s="446"/>
      <c r="K38" s="446"/>
    </row>
    <row r="39" spans="1:11" ht="12" customHeight="1">
      <c r="A39" s="412"/>
      <c r="B39" s="459" t="s">
        <v>681</v>
      </c>
      <c r="C39" s="406">
        <f>((C4+C5)+1+C14)*C13</f>
        <v>6</v>
      </c>
      <c r="D39" s="360">
        <v>1</v>
      </c>
      <c r="E39" s="407">
        <f>C39*D39</f>
        <v>6</v>
      </c>
      <c r="F39" s="446"/>
      <c r="G39" s="446"/>
      <c r="H39" s="446"/>
      <c r="I39" s="446"/>
      <c r="J39" s="446"/>
      <c r="K39" s="446"/>
    </row>
    <row r="40" spans="1:11" ht="12" customHeight="1">
      <c r="A40" s="412"/>
      <c r="B40" s="459" t="s">
        <v>682</v>
      </c>
      <c r="C40" s="406">
        <f>((C4+C5)-1)*C13</f>
        <v>2</v>
      </c>
      <c r="D40" s="360"/>
      <c r="E40" s="407">
        <f>C40*D40</f>
        <v>0</v>
      </c>
      <c r="F40" s="446"/>
      <c r="G40" s="446"/>
      <c r="H40" s="446"/>
      <c r="I40" s="446"/>
      <c r="J40" s="446"/>
      <c r="K40" s="446"/>
    </row>
    <row r="41" spans="1:11" ht="12" customHeight="1">
      <c r="A41" s="412"/>
      <c r="B41" s="459" t="s">
        <v>515</v>
      </c>
      <c r="C41" s="406">
        <f>((C4+C5)-1+C14)*C13</f>
        <v>2</v>
      </c>
      <c r="D41" s="360"/>
      <c r="E41" s="407">
        <f t="shared" si="2"/>
        <v>0</v>
      </c>
      <c r="F41" s="446"/>
      <c r="G41" s="446"/>
      <c r="H41" s="446"/>
      <c r="I41" s="446"/>
      <c r="J41" s="446"/>
      <c r="K41" s="446"/>
    </row>
    <row r="42" spans="1:11" ht="12" customHeight="1">
      <c r="A42" s="412"/>
      <c r="B42" s="459" t="s">
        <v>508</v>
      </c>
      <c r="C42" s="406">
        <f>C14*C13</f>
        <v>0</v>
      </c>
      <c r="D42" s="360"/>
      <c r="E42" s="407">
        <f t="shared" si="2"/>
        <v>0</v>
      </c>
      <c r="F42" s="446"/>
      <c r="G42" s="446"/>
      <c r="H42" s="446"/>
      <c r="I42" s="446"/>
      <c r="J42" s="446"/>
      <c r="K42" s="446"/>
    </row>
    <row r="43" spans="1:11" ht="12" customHeight="1">
      <c r="A43" s="412"/>
      <c r="B43" s="458" t="s">
        <v>505</v>
      </c>
      <c r="C43" s="354">
        <f>((C4+C5)-1)*C13</f>
        <v>2</v>
      </c>
      <c r="D43" s="360"/>
      <c r="E43" s="351">
        <f t="shared" si="2"/>
        <v>0</v>
      </c>
      <c r="F43" s="446"/>
      <c r="G43" s="446"/>
      <c r="H43" s="446"/>
      <c r="I43" s="446"/>
      <c r="J43" s="446"/>
      <c r="K43" s="446"/>
    </row>
    <row r="44" spans="1:11" ht="12" customHeight="1">
      <c r="A44" s="412"/>
      <c r="B44" s="458" t="s">
        <v>432</v>
      </c>
      <c r="C44" s="349">
        <f>IF(C5=0,(C36+C43+C50),0)</f>
        <v>6</v>
      </c>
      <c r="D44" s="403"/>
      <c r="E44" s="351">
        <f t="shared" si="2"/>
        <v>0</v>
      </c>
      <c r="F44" s="446"/>
      <c r="G44" s="446"/>
      <c r="H44" s="446"/>
      <c r="I44" s="446"/>
      <c r="J44" s="446"/>
      <c r="K44" s="446"/>
    </row>
    <row r="45" spans="1:11" ht="12" customHeight="1">
      <c r="A45" s="412"/>
      <c r="B45" s="458" t="s">
        <v>433</v>
      </c>
      <c r="C45" s="354">
        <f>IF(C5=0,(C36+C43+C50),0)</f>
        <v>6</v>
      </c>
      <c r="D45" s="360"/>
      <c r="E45" s="351">
        <f t="shared" si="2"/>
        <v>0</v>
      </c>
      <c r="F45" s="446"/>
      <c r="G45" s="446"/>
      <c r="H45" s="446"/>
      <c r="I45" s="446"/>
      <c r="J45" s="446"/>
      <c r="K45" s="446"/>
    </row>
    <row r="46" spans="1:11" ht="12" customHeight="1">
      <c r="A46" s="412"/>
      <c r="B46" s="458" t="s">
        <v>434</v>
      </c>
      <c r="C46" s="354">
        <f>IF(C4=0,(C36+C43+C50)*C13,0)</f>
        <v>0</v>
      </c>
      <c r="D46" s="360"/>
      <c r="E46" s="351">
        <f t="shared" si="2"/>
        <v>0</v>
      </c>
      <c r="F46" s="446"/>
      <c r="G46" s="446"/>
      <c r="H46" s="446"/>
      <c r="I46" s="446"/>
      <c r="J46" s="446"/>
      <c r="K46" s="446"/>
    </row>
    <row r="47" spans="1:11" ht="12" customHeight="1">
      <c r="A47" s="412"/>
      <c r="B47" s="456" t="s">
        <v>474</v>
      </c>
      <c r="C47" s="354">
        <f>C2*C13*2</f>
        <v>8</v>
      </c>
      <c r="D47" s="360"/>
      <c r="E47" s="351">
        <f t="shared" si="2"/>
        <v>0</v>
      </c>
      <c r="F47" s="446"/>
      <c r="G47" s="446"/>
      <c r="H47" s="446"/>
      <c r="I47" s="446"/>
      <c r="J47" s="446"/>
      <c r="K47" s="446"/>
    </row>
    <row r="48" spans="1:11" ht="12" customHeight="1">
      <c r="A48" s="412"/>
      <c r="B48" s="456" t="s">
        <v>461</v>
      </c>
      <c r="C48" s="361">
        <f>IF(AND(C4&gt;0,C5=0),C2*C13,0)</f>
        <v>4</v>
      </c>
      <c r="D48" s="360"/>
      <c r="E48" s="351">
        <f t="shared" si="2"/>
        <v>0</v>
      </c>
      <c r="F48" s="446"/>
      <c r="G48" s="446"/>
      <c r="H48" s="446"/>
      <c r="I48" s="446"/>
      <c r="J48" s="446"/>
      <c r="K48" s="446"/>
    </row>
    <row r="49" spans="1:11" ht="12" customHeight="1">
      <c r="A49" s="412"/>
      <c r="B49" s="456" t="s">
        <v>462</v>
      </c>
      <c r="C49" s="361">
        <f>IF(AND(C5&gt;0,C4=0),C2*C13,0)</f>
        <v>0</v>
      </c>
      <c r="D49" s="360"/>
      <c r="E49" s="351">
        <f t="shared" si="2"/>
        <v>0</v>
      </c>
      <c r="F49" s="446"/>
      <c r="G49" s="446"/>
      <c r="H49" s="446"/>
      <c r="I49" s="446"/>
      <c r="J49" s="446"/>
      <c r="K49" s="446"/>
    </row>
    <row r="50" spans="1:11" ht="12" customHeight="1">
      <c r="A50" s="412"/>
      <c r="B50" s="458" t="s">
        <v>423</v>
      </c>
      <c r="C50" s="361">
        <f>C13</f>
        <v>2</v>
      </c>
      <c r="D50" s="360"/>
      <c r="E50" s="351">
        <f t="shared" si="2"/>
        <v>0</v>
      </c>
      <c r="F50" s="446"/>
      <c r="G50" s="446"/>
      <c r="H50" s="446"/>
      <c r="I50" s="446"/>
      <c r="J50" s="446"/>
      <c r="K50" s="446"/>
    </row>
    <row r="51" spans="1:11" ht="12" customHeight="1">
      <c r="A51" s="412"/>
      <c r="B51" s="459" t="s">
        <v>378</v>
      </c>
      <c r="C51" s="361">
        <f>C6*C13</f>
        <v>2</v>
      </c>
      <c r="D51" s="360"/>
      <c r="E51" s="351">
        <f t="shared" si="2"/>
        <v>0</v>
      </c>
      <c r="F51" s="446"/>
      <c r="G51" s="446"/>
      <c r="H51" s="446"/>
      <c r="I51" s="446"/>
      <c r="J51" s="446"/>
      <c r="K51" s="446"/>
    </row>
    <row r="52" spans="1:11" ht="12" customHeight="1">
      <c r="A52" s="412"/>
      <c r="B52" s="459" t="s">
        <v>598</v>
      </c>
      <c r="C52" s="361">
        <f>C8*C13</f>
        <v>0</v>
      </c>
      <c r="D52" s="360"/>
      <c r="E52" s="351">
        <f t="shared" si="2"/>
        <v>0</v>
      </c>
      <c r="F52" s="446"/>
      <c r="G52" s="446"/>
      <c r="H52" s="446"/>
      <c r="I52" s="446"/>
      <c r="J52" s="446"/>
      <c r="K52" s="446"/>
    </row>
    <row r="53" spans="1:11" ht="12" customHeight="1">
      <c r="A53" s="412"/>
      <c r="B53" s="459" t="s">
        <v>436</v>
      </c>
      <c r="C53" s="361">
        <f>C7*C13</f>
        <v>0</v>
      </c>
      <c r="D53" s="360"/>
      <c r="E53" s="351">
        <f t="shared" si="2"/>
        <v>0</v>
      </c>
      <c r="F53" s="446"/>
      <c r="G53" s="446"/>
      <c r="H53" s="446"/>
      <c r="I53" s="446"/>
      <c r="J53" s="446"/>
      <c r="K53" s="446"/>
    </row>
    <row r="54" spans="1:11" ht="12" customHeight="1">
      <c r="A54" s="412"/>
      <c r="B54" s="532" t="s">
        <v>145</v>
      </c>
      <c r="C54" s="513">
        <f>C18</f>
        <v>0</v>
      </c>
      <c r="D54" s="529"/>
      <c r="E54" s="407">
        <f t="shared" si="2"/>
        <v>0</v>
      </c>
      <c r="F54" s="446"/>
      <c r="G54" s="446"/>
      <c r="H54" s="446"/>
      <c r="I54" s="446"/>
      <c r="J54" s="446"/>
      <c r="K54" s="446"/>
    </row>
    <row r="55" spans="1:11" ht="12" customHeight="1">
      <c r="A55" s="412"/>
      <c r="B55" s="532" t="s">
        <v>148</v>
      </c>
      <c r="C55" s="513">
        <f>C17</f>
        <v>0</v>
      </c>
      <c r="D55" s="529"/>
      <c r="E55" s="407">
        <f t="shared" si="2"/>
        <v>0</v>
      </c>
      <c r="F55" s="446"/>
      <c r="G55" s="446"/>
      <c r="H55" s="446"/>
      <c r="I55" s="446"/>
      <c r="J55" s="446"/>
      <c r="K55" s="446"/>
    </row>
    <row r="56" spans="1:11" ht="12" customHeight="1" thickBot="1">
      <c r="A56" s="412"/>
      <c r="B56" s="461" t="s">
        <v>599</v>
      </c>
      <c r="C56" s="409">
        <f>C9*C13</f>
        <v>0</v>
      </c>
      <c r="D56" s="480"/>
      <c r="E56" s="411">
        <f t="shared" si="2"/>
        <v>0</v>
      </c>
      <c r="F56" s="446"/>
      <c r="G56" s="446"/>
      <c r="H56" s="446"/>
      <c r="I56" s="446"/>
      <c r="J56" s="446"/>
      <c r="K56" s="446"/>
    </row>
    <row r="57" spans="1:11" ht="12" customHeight="1" thickBot="1">
      <c r="A57" s="412"/>
      <c r="B57" s="446"/>
      <c r="C57" s="446"/>
      <c r="D57" s="462" t="s">
        <v>9</v>
      </c>
      <c r="E57" s="534">
        <f>SUMIF(E21:E56,"&gt;0",E21:E56)</f>
        <v>6</v>
      </c>
      <c r="F57" s="446"/>
      <c r="G57" s="446"/>
      <c r="H57" s="446"/>
      <c r="I57" s="446"/>
      <c r="J57" s="446"/>
      <c r="K57" s="446"/>
    </row>
    <row r="58" spans="1:11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</row>
    <row r="59" spans="1:1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</row>
    <row r="60" spans="1:11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</row>
    <row r="61" spans="1:1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</row>
    <row r="62" spans="1:1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</row>
    <row r="63" spans="1:1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156" priority="43" operator="greaterThan">
      <formula>0</formula>
    </cfRule>
  </conditionalFormatting>
  <conditionalFormatting sqref="C2:C3">
    <cfRule type="cellIs" dxfId="155" priority="45" operator="greaterThan">
      <formula>0</formula>
    </cfRule>
  </conditionalFormatting>
  <conditionalFormatting sqref="C2:C3">
    <cfRule type="cellIs" dxfId="154" priority="44" operator="greaterThan">
      <formula>0</formula>
    </cfRule>
  </conditionalFormatting>
  <conditionalFormatting sqref="C10">
    <cfRule type="cellIs" dxfId="153" priority="42" operator="greaterThan">
      <formula>0</formula>
    </cfRule>
  </conditionalFormatting>
  <conditionalFormatting sqref="C10">
    <cfRule type="cellIs" dxfId="152" priority="41" operator="greaterThan">
      <formula>0</formula>
    </cfRule>
  </conditionalFormatting>
  <conditionalFormatting sqref="C10">
    <cfRule type="cellIs" dxfId="151" priority="40" operator="greaterThan">
      <formula>0</formula>
    </cfRule>
  </conditionalFormatting>
  <conditionalFormatting sqref="C10">
    <cfRule type="cellIs" dxfId="150" priority="39" operator="greaterThan">
      <formula>0</formula>
    </cfRule>
  </conditionalFormatting>
  <conditionalFormatting sqref="J3:J15">
    <cfRule type="cellIs" dxfId="149" priority="16" operator="greaterThan">
      <formula>0</formula>
    </cfRule>
    <cfRule type="cellIs" dxfId="148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147" priority="33" operator="equal">
      <formula>"ДА"</formula>
    </cfRule>
    <cfRule type="cellIs" dxfId="146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45" priority="30" operator="equal">
      <formula>"ДА"</formula>
    </cfRule>
    <cfRule type="cellIs" dxfId="144" priority="31" operator="equal">
      <formula>"НЕТ"</formula>
    </cfRule>
  </conditionalFormatting>
  <conditionalFormatting sqref="I5">
    <cfRule type="cellIs" dxfId="143" priority="27" operator="equal">
      <formula>"ДА"</formula>
    </cfRule>
    <cfRule type="cellIs" dxfId="142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41" priority="23" operator="equal">
      <formula>"ДА"</formula>
    </cfRule>
    <cfRule type="cellIs" dxfId="140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139" priority="19" operator="equal">
      <formula>"ДА"</formula>
    </cfRule>
    <cfRule type="cellIs" dxfId="138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137" priority="18" operator="greaterThan">
      <formula>0</formula>
    </cfRule>
  </conditionalFormatting>
  <conditionalFormatting sqref="C2:C16">
    <cfRule type="cellIs" dxfId="136" priority="15" operator="greaterThan">
      <formula>0</formula>
    </cfRule>
  </conditionalFormatting>
  <conditionalFormatting sqref="C38:E38 C41:E53 C56:E56">
    <cfRule type="cellIs" dxfId="135" priority="14" operator="greaterThan">
      <formula>0</formula>
    </cfRule>
  </conditionalFormatting>
  <conditionalFormatting sqref="E57">
    <cfRule type="cellIs" dxfId="134" priority="13" operator="greaterThan">
      <formula>0</formula>
    </cfRule>
  </conditionalFormatting>
  <conditionalFormatting sqref="J3:K15">
    <cfRule type="cellIs" dxfId="133" priority="12" operator="greaterThan">
      <formula>0</formula>
    </cfRule>
  </conditionalFormatting>
  <conditionalFormatting sqref="C21:C36">
    <cfRule type="cellIs" dxfId="132" priority="11" operator="greaterThan">
      <formula>4</formula>
    </cfRule>
  </conditionalFormatting>
  <conditionalFormatting sqref="C41:C53 C38 C56">
    <cfRule type="cellIs" dxfId="131" priority="10" operator="greaterThan">
      <formula>0</formula>
    </cfRule>
  </conditionalFormatting>
  <conditionalFormatting sqref="C39">
    <cfRule type="cellIs" dxfId="130" priority="8" operator="greaterThan">
      <formula>0</formula>
    </cfRule>
  </conditionalFormatting>
  <conditionalFormatting sqref="C40">
    <cfRule type="cellIs" dxfId="129" priority="6" operator="greaterThan">
      <formula>0</formula>
    </cfRule>
  </conditionalFormatting>
  <conditionalFormatting sqref="C39:E39">
    <cfRule type="cellIs" dxfId="128" priority="9" operator="greaterThan">
      <formula>0</formula>
    </cfRule>
  </conditionalFormatting>
  <conditionalFormatting sqref="C37">
    <cfRule type="cellIs" dxfId="127" priority="3" operator="greaterThan">
      <formula>0</formula>
    </cfRule>
  </conditionalFormatting>
  <conditionalFormatting sqref="C40:E40">
    <cfRule type="cellIs" dxfId="126" priority="7" operator="greaterThan">
      <formula>0</formula>
    </cfRule>
  </conditionalFormatting>
  <conditionalFormatting sqref="D37:E37">
    <cfRule type="cellIs" dxfId="125" priority="5" operator="greaterThan">
      <formula>0</formula>
    </cfRule>
  </conditionalFormatting>
  <conditionalFormatting sqref="C37">
    <cfRule type="cellIs" dxfId="124" priority="4" operator="greaterThan">
      <formula>0</formula>
    </cfRule>
  </conditionalFormatting>
  <conditionalFormatting sqref="C17:C18">
    <cfRule type="cellIs" dxfId="123" priority="2" operator="greaterThan">
      <formula>0</formula>
    </cfRule>
  </conditionalFormatting>
  <conditionalFormatting sqref="C54:E55">
    <cfRule type="cellIs" dxfId="1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12"/>
      <c r="B1" s="1244"/>
      <c r="C1" s="1244"/>
      <c r="D1" s="1244"/>
      <c r="E1" s="1244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551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2" customHeight="1">
      <c r="A3" s="412"/>
      <c r="B3" s="424" t="s">
        <v>552</v>
      </c>
      <c r="C3" s="558">
        <v>0</v>
      </c>
      <c r="D3" s="1186"/>
      <c r="E3" s="1172"/>
      <c r="F3" s="1173"/>
      <c r="G3" s="704"/>
      <c r="H3" s="420" t="s">
        <v>489</v>
      </c>
      <c r="I3" s="630" t="str">
        <f>IF(AND($C$12+$C$13+$C$14=1,$C$15+$C$16+$C$17=0,C18=1),"ДА","НЕТ")</f>
        <v>НЕТ</v>
      </c>
      <c r="J3" s="617"/>
      <c r="K3" s="326">
        <f>IF(I3="ДА",$C$18*J3,0)</f>
        <v>0</v>
      </c>
      <c r="L3" s="412"/>
    </row>
    <row r="4" spans="1:12" ht="12" customHeight="1">
      <c r="A4" s="412"/>
      <c r="B4" s="426" t="s">
        <v>553</v>
      </c>
      <c r="C4" s="623">
        <v>0</v>
      </c>
      <c r="D4" s="1186"/>
      <c r="E4" s="1172"/>
      <c r="F4" s="1173"/>
      <c r="G4" s="446"/>
      <c r="H4" s="425" t="s">
        <v>486</v>
      </c>
      <c r="I4" s="631" t="str">
        <f>IF(AND($C$12+$C$13+$C$14=1,$C$15+$C$16+$C$17=0,C18=3),"ДА","НЕТ")</f>
        <v>НЕТ</v>
      </c>
      <c r="J4" s="618"/>
      <c r="K4" s="330">
        <f t="shared" ref="K4:K19" si="0">IF(I4="ДА",$C$18*J4,0)</f>
        <v>0</v>
      </c>
      <c r="L4" s="412"/>
    </row>
    <row r="5" spans="1:12" ht="12" customHeight="1" thickBot="1">
      <c r="A5" s="412"/>
      <c r="B5" s="419" t="s">
        <v>554</v>
      </c>
      <c r="C5" s="466">
        <v>0</v>
      </c>
      <c r="D5" s="1169"/>
      <c r="E5" s="1170"/>
      <c r="F5" s="1171"/>
      <c r="G5" s="704"/>
      <c r="H5" s="425" t="s">
        <v>591</v>
      </c>
      <c r="I5" s="631" t="str">
        <f>IF(AND($C$12+$C$13+$C$14=1,$C$15+$C$16+$C$17=0,C18=3),"ДА","НЕТ")</f>
        <v>НЕТ</v>
      </c>
      <c r="J5" s="618"/>
      <c r="K5" s="330">
        <f t="shared" si="0"/>
        <v>0</v>
      </c>
      <c r="L5" s="412"/>
    </row>
    <row r="6" spans="1:12" ht="12" customHeight="1">
      <c r="A6" s="412"/>
      <c r="B6" s="414" t="s">
        <v>413</v>
      </c>
      <c r="C6" s="614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IF(AND($C$12+$C$13+$C$14=1,$C$15+$C$16+$C$17=0,C18=2),"ДА","НЕТ")</f>
        <v>НЕТ</v>
      </c>
      <c r="J6" s="618"/>
      <c r="K6" s="330">
        <f t="shared" si="0"/>
        <v>0</v>
      </c>
      <c r="L6" s="412"/>
    </row>
    <row r="7" spans="1:12" ht="12" customHeight="1">
      <c r="A7" s="412"/>
      <c r="B7" s="424" t="s">
        <v>414</v>
      </c>
      <c r="C7" s="624">
        <v>0</v>
      </c>
      <c r="D7" s="1186"/>
      <c r="E7" s="1172"/>
      <c r="F7" s="1173"/>
      <c r="G7" s="446"/>
      <c r="H7" s="425" t="s">
        <v>488</v>
      </c>
      <c r="I7" s="631" t="str">
        <f>IF(AND($C$12+$C$13+$C$14=1,$C$15+$C$16+$C$17=0,C18=2),"ДА","НЕТ")</f>
        <v>НЕТ</v>
      </c>
      <c r="J7" s="618"/>
      <c r="K7" s="330">
        <f t="shared" si="0"/>
        <v>0</v>
      </c>
      <c r="L7" s="412"/>
    </row>
    <row r="8" spans="1:12" ht="12" customHeight="1">
      <c r="A8" s="412"/>
      <c r="B8" s="424" t="s">
        <v>586</v>
      </c>
      <c r="C8" s="624">
        <v>0</v>
      </c>
      <c r="D8" s="1186"/>
      <c r="E8" s="1172"/>
      <c r="F8" s="1173"/>
      <c r="G8" s="446"/>
      <c r="H8" s="425" t="s">
        <v>494</v>
      </c>
      <c r="I8" s="631" t="str">
        <f>IF(AND($C$12+$C$13+$C$14=1,$C$15+$C$16+$C$17=0,C18=2),"ДА","НЕТ")</f>
        <v>НЕТ</v>
      </c>
      <c r="J8" s="618"/>
      <c r="K8" s="330">
        <f t="shared" si="0"/>
        <v>0</v>
      </c>
      <c r="L8" s="412"/>
    </row>
    <row r="9" spans="1:12" ht="12" customHeight="1">
      <c r="A9" s="412"/>
      <c r="B9" s="426" t="s">
        <v>415</v>
      </c>
      <c r="C9" s="556">
        <v>0</v>
      </c>
      <c r="D9" s="1186"/>
      <c r="E9" s="1172"/>
      <c r="F9" s="1173"/>
      <c r="G9" s="446"/>
      <c r="H9" s="420" t="s">
        <v>590</v>
      </c>
      <c r="I9" s="631" t="str">
        <f>IF(AND($C$12+$C$13+$C$14=1,$C$15+$C$16+$C$17=0,C18=1),"ДА","НЕТ")</f>
        <v>НЕТ</v>
      </c>
      <c r="J9" s="617"/>
      <c r="K9" s="326">
        <f t="shared" si="0"/>
        <v>0</v>
      </c>
      <c r="L9" s="412"/>
    </row>
    <row r="10" spans="1:12" ht="12" customHeight="1">
      <c r="A10" s="412"/>
      <c r="B10" s="424" t="s">
        <v>416</v>
      </c>
      <c r="C10" s="624">
        <v>0</v>
      </c>
      <c r="D10" s="1186"/>
      <c r="E10" s="1172"/>
      <c r="F10" s="1173"/>
      <c r="G10" s="446"/>
      <c r="H10" s="420" t="s">
        <v>383</v>
      </c>
      <c r="I10" s="631" t="str">
        <f>IF(AND($C$12+$C$13+$C$14+$C$17=0,$C$15+$C$16=1,$C$18=1),"ДА","НЕТ")</f>
        <v>НЕТ</v>
      </c>
      <c r="J10" s="619"/>
      <c r="K10" s="333">
        <f t="shared" si="0"/>
        <v>0</v>
      </c>
      <c r="L10" s="412"/>
    </row>
    <row r="11" spans="1:12" ht="12" customHeight="1" thickBot="1">
      <c r="A11" s="412"/>
      <c r="B11" s="447" t="s">
        <v>585</v>
      </c>
      <c r="C11" s="557">
        <v>0</v>
      </c>
      <c r="D11" s="1169"/>
      <c r="E11" s="1170"/>
      <c r="F11" s="1171"/>
      <c r="G11" s="446"/>
      <c r="H11" s="423" t="s">
        <v>384</v>
      </c>
      <c r="I11" s="631" t="str">
        <f>IF(AND($C$12+$C$13+$C$14+$C$17=0,$C$15+$C$16=1,$C$18=1),"ДА","НЕТ")</f>
        <v>НЕТ</v>
      </c>
      <c r="J11" s="619"/>
      <c r="K11" s="333">
        <f t="shared" si="0"/>
        <v>0</v>
      </c>
      <c r="L11" s="412"/>
    </row>
    <row r="12" spans="1:12" ht="12" customHeight="1">
      <c r="A12" s="412"/>
      <c r="B12" s="426" t="s">
        <v>498</v>
      </c>
      <c r="C12" s="469">
        <v>0</v>
      </c>
      <c r="D12" s="429" t="s">
        <v>287</v>
      </c>
      <c r="E12" s="430" t="s">
        <v>255</v>
      </c>
      <c r="F12" s="1175" t="s">
        <v>597</v>
      </c>
      <c r="G12" s="446"/>
      <c r="H12" s="423" t="s">
        <v>385</v>
      </c>
      <c r="I12" s="631" t="str">
        <f>IF(AND($C$12+$C$13+$C$14+$C$17=0,$C$15+$C$16=1,$C$18=1),"ДА","НЕТ")</f>
        <v>НЕТ</v>
      </c>
      <c r="J12" s="620"/>
      <c r="K12" s="333">
        <f t="shared" si="0"/>
        <v>0</v>
      </c>
      <c r="L12" s="412"/>
    </row>
    <row r="13" spans="1:12" ht="12" customHeight="1">
      <c r="A13" s="412"/>
      <c r="B13" s="424" t="s">
        <v>499</v>
      </c>
      <c r="C13" s="468">
        <v>0</v>
      </c>
      <c r="D13" s="431" t="s">
        <v>287</v>
      </c>
      <c r="E13" s="432" t="s">
        <v>255</v>
      </c>
      <c r="F13" s="1175"/>
      <c r="G13" s="446"/>
      <c r="H13" s="423" t="s">
        <v>592</v>
      </c>
      <c r="I13" s="631" t="str">
        <f>IF(AND($C$12+$C$13+C14+$C$15+$C$16=0,$C$17=1,$C$18=1),"ДА","НЕТ")</f>
        <v>НЕТ</v>
      </c>
      <c r="J13" s="620"/>
      <c r="K13" s="333">
        <f t="shared" si="0"/>
        <v>0</v>
      </c>
      <c r="L13" s="412"/>
    </row>
    <row r="14" spans="1:12" ht="12" customHeight="1">
      <c r="A14" s="412"/>
      <c r="B14" s="424" t="s">
        <v>587</v>
      </c>
      <c r="C14" s="468">
        <v>0</v>
      </c>
      <c r="D14" s="431" t="s">
        <v>287</v>
      </c>
      <c r="E14" s="431" t="s">
        <v>255</v>
      </c>
      <c r="F14" s="1175"/>
      <c r="G14" s="446"/>
      <c r="H14" s="423" t="s">
        <v>592</v>
      </c>
      <c r="I14" s="631" t="str">
        <f>IF(AND($C$12+$C$13+C14+$C$15+$C$16=0,$C$17=1,$C$18=1),"ДА","НЕТ")</f>
        <v>НЕТ</v>
      </c>
      <c r="J14" s="620"/>
      <c r="K14" s="333">
        <f t="shared" si="0"/>
        <v>0</v>
      </c>
      <c r="L14" s="412"/>
    </row>
    <row r="15" spans="1:12" ht="12" customHeight="1">
      <c r="A15" s="412"/>
      <c r="B15" s="426" t="s">
        <v>500</v>
      </c>
      <c r="C15" s="469">
        <v>0</v>
      </c>
      <c r="D15" s="429" t="s">
        <v>287</v>
      </c>
      <c r="E15" s="430" t="s">
        <v>255</v>
      </c>
      <c r="F15" s="1175"/>
      <c r="G15" s="446"/>
      <c r="H15" s="420" t="s">
        <v>388</v>
      </c>
      <c r="I15" s="631" t="str">
        <f>IF(AND($C$12+$C$13+$C$14+$C$17=0,$C$15+$C$16=1,$C$18=2),"ДА","НЕТ")</f>
        <v>НЕТ</v>
      </c>
      <c r="J15" s="619"/>
      <c r="K15" s="333">
        <f t="shared" si="0"/>
        <v>0</v>
      </c>
      <c r="L15" s="412"/>
    </row>
    <row r="16" spans="1:12" ht="12" customHeight="1">
      <c r="A16" s="412"/>
      <c r="B16" s="424" t="s">
        <v>501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IF(AND($C$12+$C$13+$C$14+$C$17=0,$C$15+$C$16=1,$C$18=2),"ДА","НЕТ")</f>
        <v>НЕТ</v>
      </c>
      <c r="J16" s="619"/>
      <c r="K16" s="333">
        <f t="shared" si="0"/>
        <v>0</v>
      </c>
      <c r="L16" s="412"/>
    </row>
    <row r="17" spans="1:12" ht="12" customHeight="1" thickBot="1">
      <c r="A17" s="412"/>
      <c r="B17" s="521" t="s">
        <v>588</v>
      </c>
      <c r="C17" s="520">
        <v>0</v>
      </c>
      <c r="D17" s="633" t="s">
        <v>287</v>
      </c>
      <c r="E17" s="523" t="s">
        <v>255</v>
      </c>
      <c r="F17" s="1175"/>
      <c r="G17" s="446"/>
      <c r="H17" s="423" t="s">
        <v>390</v>
      </c>
      <c r="I17" s="631" t="str">
        <f>IF(AND($C$12+$C$13+$C$14+$C$17=0,$C$15+$C$16=1,$C$18=2),"ДА","НЕТ")</f>
        <v>НЕТ</v>
      </c>
      <c r="J17" s="619"/>
      <c r="K17" s="330">
        <f t="shared" si="0"/>
        <v>0</v>
      </c>
      <c r="L17" s="412"/>
    </row>
    <row r="18" spans="1:12" ht="12" customHeight="1" thickBot="1">
      <c r="A18" s="412"/>
      <c r="B18" s="436" t="s">
        <v>589</v>
      </c>
      <c r="C18" s="555">
        <v>0</v>
      </c>
      <c r="D18" s="440" t="s">
        <v>619</v>
      </c>
      <c r="E18" s="441" t="s">
        <v>620</v>
      </c>
      <c r="F18" s="443" t="s">
        <v>621</v>
      </c>
      <c r="G18" s="446"/>
      <c r="H18" s="420" t="s">
        <v>593</v>
      </c>
      <c r="I18" s="630" t="str">
        <f>IF(AND($C$12+$C$13+C14+$C$15+$C$16=0,$C$17=1,$C$18=2),"ДА","НЕТ")</f>
        <v>НЕТ</v>
      </c>
      <c r="J18" s="621"/>
      <c r="K18" s="337">
        <f t="shared" si="0"/>
        <v>0</v>
      </c>
      <c r="L18" s="412"/>
    </row>
    <row r="19" spans="1:12" ht="12" customHeight="1" thickBot="1">
      <c r="A19" s="412"/>
      <c r="B19" s="426" t="s">
        <v>361</v>
      </c>
      <c r="C19" s="469">
        <v>0</v>
      </c>
      <c r="D19" s="429" t="s">
        <v>287</v>
      </c>
      <c r="E19" s="430" t="s">
        <v>255</v>
      </c>
      <c r="F19" s="1175" t="s">
        <v>597</v>
      </c>
      <c r="G19" s="446"/>
      <c r="H19" s="444" t="s">
        <v>594</v>
      </c>
      <c r="I19" s="641" t="str">
        <f>IF(AND($C$12+$C$13+C14+$C$15+$C$16=0,$C$17=1,$C$18=2),"ДА","НЕТ")</f>
        <v>НЕТ</v>
      </c>
      <c r="J19" s="622"/>
      <c r="K19" s="340">
        <f t="shared" si="0"/>
        <v>0</v>
      </c>
      <c r="L19" s="412"/>
    </row>
    <row r="20" spans="1:12" ht="12" customHeight="1">
      <c r="A20" s="412"/>
      <c r="B20" s="426" t="s">
        <v>466</v>
      </c>
      <c r="C20" s="469">
        <v>0</v>
      </c>
      <c r="D20" s="429" t="s">
        <v>287</v>
      </c>
      <c r="E20" s="430" t="s">
        <v>255</v>
      </c>
      <c r="F20" s="1175"/>
      <c r="G20" s="446"/>
      <c r="H20" s="446"/>
      <c r="I20" s="446"/>
      <c r="J20" s="446"/>
      <c r="K20" s="446"/>
      <c r="L20" s="412"/>
    </row>
    <row r="21" spans="1:12" ht="12" customHeight="1">
      <c r="A21" s="412"/>
      <c r="B21" s="424" t="s">
        <v>362</v>
      </c>
      <c r="C21" s="468">
        <v>0</v>
      </c>
      <c r="D21" s="431" t="s">
        <v>287</v>
      </c>
      <c r="E21" s="432" t="s">
        <v>255</v>
      </c>
      <c r="F21" s="1175"/>
      <c r="G21" s="446"/>
      <c r="H21" s="446"/>
      <c r="I21" s="446"/>
      <c r="J21" s="446"/>
      <c r="K21" s="446"/>
      <c r="L21" s="412"/>
    </row>
    <row r="22" spans="1:12" ht="12" customHeight="1" thickBot="1">
      <c r="A22" s="412"/>
      <c r="B22" s="419" t="s">
        <v>467</v>
      </c>
      <c r="C22" s="470">
        <v>0</v>
      </c>
      <c r="D22" s="434" t="s">
        <v>287</v>
      </c>
      <c r="E22" s="435" t="s">
        <v>255</v>
      </c>
      <c r="F22" s="1176"/>
      <c r="G22" s="446"/>
      <c r="H22" s="446"/>
      <c r="I22" s="446"/>
      <c r="J22" s="446"/>
      <c r="K22" s="446"/>
      <c r="L22" s="412"/>
    </row>
    <row r="23" spans="1:12" ht="12" customHeight="1">
      <c r="A23" s="412"/>
      <c r="B23" s="414" t="s">
        <v>147</v>
      </c>
      <c r="C23" s="471">
        <v>0</v>
      </c>
      <c r="D23" s="1177" t="s">
        <v>686</v>
      </c>
      <c r="E23" s="1178"/>
      <c r="F23" s="1179"/>
      <c r="G23" s="446"/>
      <c r="H23" s="446"/>
      <c r="I23" s="446"/>
      <c r="J23" s="446"/>
      <c r="K23" s="446"/>
      <c r="L23" s="412"/>
    </row>
    <row r="24" spans="1:12" ht="12" customHeight="1" thickBot="1">
      <c r="A24" s="412"/>
      <c r="B24" s="419" t="s">
        <v>146</v>
      </c>
      <c r="C24" s="470">
        <v>0</v>
      </c>
      <c r="D24" s="1183" t="s">
        <v>687</v>
      </c>
      <c r="E24" s="1184"/>
      <c r="F24" s="1185"/>
      <c r="G24" s="446"/>
      <c r="H24" s="446"/>
      <c r="I24" s="446"/>
      <c r="J24" s="446"/>
      <c r="K24" s="446"/>
      <c r="L24" s="412"/>
    </row>
    <row r="25" spans="1:12" ht="12" customHeight="1" thickBot="1">
      <c r="A25" s="412"/>
      <c r="B25" s="1163"/>
      <c r="C25" s="1163"/>
      <c r="D25" s="1163"/>
      <c r="E25" s="1163"/>
      <c r="F25" s="446"/>
      <c r="G25" s="446"/>
      <c r="H25" s="446"/>
      <c r="I25" s="446"/>
      <c r="J25" s="446"/>
      <c r="K25" s="446"/>
      <c r="L25" s="412"/>
    </row>
    <row r="26" spans="1:12" ht="12" customHeight="1">
      <c r="A26" s="412"/>
      <c r="B26" s="451" t="s">
        <v>5</v>
      </c>
      <c r="C26" s="452" t="s">
        <v>0</v>
      </c>
      <c r="D26" s="638" t="s">
        <v>4</v>
      </c>
      <c r="E26" s="454" t="s">
        <v>8</v>
      </c>
      <c r="F26" s="446"/>
      <c r="G26" s="446"/>
      <c r="H26" s="446"/>
      <c r="I26" s="446"/>
      <c r="J26" s="446"/>
      <c r="K26" s="446"/>
      <c r="L26" s="412"/>
    </row>
    <row r="27" spans="1:12" ht="12" customHeight="1">
      <c r="A27" s="412"/>
      <c r="B27" s="456" t="s">
        <v>563</v>
      </c>
      <c r="C27" s="349">
        <f>C22*(C6+C7+C8+C9+C10+C11)*2</f>
        <v>0</v>
      </c>
      <c r="D27" s="350"/>
      <c r="E27" s="351">
        <f t="shared" ref="E27:E61" si="1">C27*D27</f>
        <v>0</v>
      </c>
      <c r="F27" s="446"/>
      <c r="G27" s="446"/>
      <c r="H27" s="446"/>
      <c r="I27" s="446"/>
      <c r="J27" s="446"/>
      <c r="K27" s="446"/>
      <c r="L27" s="412"/>
    </row>
    <row r="28" spans="1:12" ht="12" customHeight="1">
      <c r="A28" s="412"/>
      <c r="B28" s="456" t="s">
        <v>564</v>
      </c>
      <c r="C28" s="349">
        <f>C20*(C6+C7+C8+C9+C10+C11)*2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 ht="12" customHeight="1">
      <c r="A29" s="412"/>
      <c r="B29" s="456" t="s">
        <v>117</v>
      </c>
      <c r="C29" s="349">
        <f>(C19+C21)*4*(C6+C7+C8+C9+C10+C11)</f>
        <v>0</v>
      </c>
      <c r="D29" s="350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 ht="12" customHeight="1">
      <c r="A30" s="412"/>
      <c r="B30" s="458" t="s">
        <v>641</v>
      </c>
      <c r="C30" s="354">
        <f>EVEN(ROUNDDOWN(IF(AND(C9+C10+C11&gt;0.9,C6+C7+C8=0),(C9+C10+C11)*C2/0.5,0),0))</f>
        <v>0</v>
      </c>
      <c r="D30" s="355"/>
      <c r="E30" s="351">
        <f t="shared" si="1"/>
        <v>0</v>
      </c>
      <c r="F30" s="448"/>
      <c r="G30" s="446"/>
      <c r="H30" s="446"/>
      <c r="I30" s="446"/>
      <c r="J30" s="446"/>
      <c r="K30" s="446"/>
      <c r="L30" s="412"/>
    </row>
    <row r="31" spans="1:12" ht="12" customHeight="1">
      <c r="A31" s="412"/>
      <c r="B31" s="458" t="s">
        <v>555</v>
      </c>
      <c r="C31" s="354">
        <f>C6+C7+C8+C9+C10+C11</f>
        <v>0</v>
      </c>
      <c r="D31" s="355"/>
      <c r="E31" s="351">
        <f>C31*D31</f>
        <v>0</v>
      </c>
      <c r="F31" s="450"/>
      <c r="G31" s="446"/>
      <c r="H31" s="446"/>
      <c r="I31" s="446"/>
      <c r="J31" s="446"/>
      <c r="K31" s="446"/>
      <c r="L31" s="412"/>
    </row>
    <row r="32" spans="1:12" ht="12" customHeight="1">
      <c r="A32" s="412"/>
      <c r="B32" s="458" t="s">
        <v>420</v>
      </c>
      <c r="C32" s="354">
        <f>(C6+C7+C8+C9+C10+C11)*2</f>
        <v>0</v>
      </c>
      <c r="D32" s="355"/>
      <c r="E32" s="351">
        <f>C32*D32</f>
        <v>0</v>
      </c>
      <c r="F32" s="450"/>
      <c r="G32" s="446"/>
      <c r="H32" s="446"/>
      <c r="I32" s="446"/>
      <c r="J32" s="446"/>
      <c r="K32" s="446"/>
      <c r="L32" s="412"/>
    </row>
    <row r="33" spans="1:12" ht="12" customHeight="1">
      <c r="A33" s="412"/>
      <c r="B33" s="456" t="s">
        <v>642</v>
      </c>
      <c r="C33" s="357">
        <f>(C6+C7+C8)*2</f>
        <v>0</v>
      </c>
      <c r="D33" s="358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 ht="12" customHeight="1">
      <c r="A34" s="412"/>
      <c r="B34" s="458" t="s">
        <v>643</v>
      </c>
      <c r="C34" s="357">
        <f>IF(C6+C7+C8=0,(C9+C10+C11)*2,0)</f>
        <v>0</v>
      </c>
      <c r="D34" s="358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 ht="12" customHeight="1">
      <c r="A35" s="412"/>
      <c r="B35" s="458" t="s">
        <v>432</v>
      </c>
      <c r="C35" s="349">
        <f>(C6+C9)*2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 ht="12" customHeight="1">
      <c r="A36" s="412"/>
      <c r="B36" s="458" t="s">
        <v>433</v>
      </c>
      <c r="C36" s="354">
        <f>(C6+C9)*2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 ht="12" customHeight="1">
      <c r="A37" s="412"/>
      <c r="B37" s="458" t="s">
        <v>600</v>
      </c>
      <c r="C37" s="354">
        <f>(C8+C11)*2</f>
        <v>0</v>
      </c>
      <c r="D37" s="355"/>
      <c r="E37" s="351">
        <f>C37*D37</f>
        <v>0</v>
      </c>
      <c r="F37" s="446"/>
      <c r="G37" s="446"/>
      <c r="H37" s="446"/>
      <c r="I37" s="446"/>
      <c r="J37" s="446"/>
      <c r="K37" s="446"/>
      <c r="L37" s="412"/>
    </row>
    <row r="38" spans="1:12" ht="12" customHeight="1">
      <c r="A38" s="412"/>
      <c r="B38" s="458" t="s">
        <v>434</v>
      </c>
      <c r="C38" s="354">
        <f>(C7+C10+C8+C11)*2</f>
        <v>0</v>
      </c>
      <c r="D38" s="355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 ht="12" customHeight="1">
      <c r="A39" s="412"/>
      <c r="B39" s="458" t="s">
        <v>644</v>
      </c>
      <c r="C39" s="354">
        <f>(C9+C10+C11)*3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 ht="12" customHeight="1">
      <c r="A40" s="412"/>
      <c r="B40" s="458" t="s">
        <v>474</v>
      </c>
      <c r="C40" s="354">
        <f>C22*(C2+C4)*(C6+C7+C8+C9+C10+C11)</f>
        <v>0</v>
      </c>
      <c r="D40" s="355"/>
      <c r="E40" s="351">
        <f>C40*D40</f>
        <v>0</v>
      </c>
      <c r="F40" s="446"/>
      <c r="G40" s="446"/>
      <c r="H40" s="446"/>
      <c r="I40" s="446"/>
      <c r="J40" s="446"/>
      <c r="K40" s="446"/>
      <c r="L40" s="412"/>
    </row>
    <row r="41" spans="1:12" ht="12" customHeight="1">
      <c r="A41" s="412"/>
      <c r="B41" s="456" t="s">
        <v>474</v>
      </c>
      <c r="C41" s="354">
        <f>(C2+C4)*(C6+C7+C8+C9+C10+C11)</f>
        <v>0</v>
      </c>
      <c r="D41" s="355"/>
      <c r="E41" s="351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 ht="12" customHeight="1">
      <c r="A42" s="412"/>
      <c r="B42" s="458" t="s">
        <v>363</v>
      </c>
      <c r="C42" s="354">
        <f>C21*2*(C2+C4)*(C6+C7+C8+C9+C10+C11)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 ht="12" customHeight="1">
      <c r="A43" s="412"/>
      <c r="B43" s="458" t="s">
        <v>477</v>
      </c>
      <c r="C43" s="354">
        <f>C20*(C2+C4)*(C6+C7+C8+C9+C10+C11)</f>
        <v>0</v>
      </c>
      <c r="D43" s="360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 ht="12" customHeight="1">
      <c r="A44" s="412"/>
      <c r="B44" s="458" t="s">
        <v>467</v>
      </c>
      <c r="C44" s="354">
        <f>C22*(C2+C4)*(C6+C7+C8+C9+C10+C11)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 ht="12" customHeight="1">
      <c r="A45" s="412"/>
      <c r="B45" s="458" t="s">
        <v>645</v>
      </c>
      <c r="C45" s="354">
        <f>C20*(C2+C4)*(C6+C7+C8+C9+C10+C11)</f>
        <v>0</v>
      </c>
      <c r="D45" s="355"/>
      <c r="E45" s="351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 ht="12" customHeight="1">
      <c r="A46" s="412"/>
      <c r="B46" s="458" t="s">
        <v>364</v>
      </c>
      <c r="C46" s="354">
        <f>C19*(C2+C4)*(C6+C7+C8+C9+C10+C11)</f>
        <v>0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2" customHeight="1">
      <c r="A47" s="412"/>
      <c r="B47" s="458" t="s">
        <v>365</v>
      </c>
      <c r="C47" s="361">
        <f>C21*(C2+C4)*(C6+C7+C8+C9+C10+C11)</f>
        <v>0</v>
      </c>
      <c r="D47" s="355"/>
      <c r="E47" s="351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 ht="12" customHeight="1">
      <c r="A48" s="412"/>
      <c r="B48" s="456" t="s">
        <v>461</v>
      </c>
      <c r="C48" s="361">
        <f>(C6+C9)*(C2+C4)</f>
        <v>0</v>
      </c>
      <c r="D48" s="355"/>
      <c r="E48" s="351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 ht="12" customHeight="1">
      <c r="A49" s="412"/>
      <c r="B49" s="456" t="s">
        <v>462</v>
      </c>
      <c r="C49" s="361">
        <f>(C7+C10)*(C2+C4)</f>
        <v>0</v>
      </c>
      <c r="D49" s="355"/>
      <c r="E49" s="351">
        <f t="shared" si="1"/>
        <v>0</v>
      </c>
      <c r="F49" s="450"/>
      <c r="G49" s="446"/>
      <c r="H49" s="446"/>
      <c r="I49" s="446"/>
      <c r="J49" s="446"/>
      <c r="K49" s="446"/>
      <c r="L49" s="412"/>
    </row>
    <row r="50" spans="1:12" ht="12" customHeight="1">
      <c r="A50" s="412"/>
      <c r="B50" s="456" t="s">
        <v>601</v>
      </c>
      <c r="C50" s="361">
        <f>(C8+C11)*(C2+C4)</f>
        <v>0</v>
      </c>
      <c r="D50" s="355"/>
      <c r="E50" s="351">
        <f>C50*D50</f>
        <v>0</v>
      </c>
      <c r="F50" s="450"/>
      <c r="G50" s="446"/>
      <c r="H50" s="446"/>
      <c r="I50" s="446"/>
      <c r="J50" s="446"/>
      <c r="K50" s="446"/>
      <c r="L50" s="412"/>
    </row>
    <row r="51" spans="1:12" ht="12" customHeight="1">
      <c r="A51" s="412"/>
      <c r="B51" s="456" t="s">
        <v>422</v>
      </c>
      <c r="C51" s="361">
        <f>IF(C6+C7+C8=0,(C9+C10+C11)*(C2+C4),0)</f>
        <v>0</v>
      </c>
      <c r="D51" s="355">
        <v>1</v>
      </c>
      <c r="E51" s="351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12"/>
      <c r="B52" s="458" t="s">
        <v>647</v>
      </c>
      <c r="C52" s="361">
        <f>(C6+C7+C8+C9+C10+C11)*2</f>
        <v>0</v>
      </c>
      <c r="D52" s="355"/>
      <c r="E52" s="351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12"/>
      <c r="B53" s="458" t="s">
        <v>424</v>
      </c>
      <c r="C53" s="361">
        <f>(C9+C10+C11)*6</f>
        <v>0</v>
      </c>
      <c r="D53" s="355"/>
      <c r="E53" s="351">
        <f t="shared" si="1"/>
        <v>0</v>
      </c>
      <c r="F53" s="446"/>
      <c r="G53" s="446"/>
      <c r="H53" s="446"/>
      <c r="I53" s="446"/>
      <c r="J53" s="446"/>
      <c r="K53" s="446"/>
      <c r="L53" s="412"/>
    </row>
    <row r="54" spans="1:12" ht="12" customHeight="1">
      <c r="A54" s="412"/>
      <c r="B54" s="459" t="s">
        <v>602</v>
      </c>
      <c r="C54" s="361">
        <f>C14*(C8+C11)*2</f>
        <v>0</v>
      </c>
      <c r="D54" s="355"/>
      <c r="E54" s="351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 ht="12" customHeight="1">
      <c r="A55" s="412"/>
      <c r="B55" s="459" t="s">
        <v>603</v>
      </c>
      <c r="C55" s="361">
        <f>C17*(C8+C11)*2</f>
        <v>0</v>
      </c>
      <c r="D55" s="355"/>
      <c r="E55" s="351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 ht="12" customHeight="1">
      <c r="A56" s="412"/>
      <c r="B56" s="459" t="s">
        <v>378</v>
      </c>
      <c r="C56" s="361">
        <f>C12*(C6+C9)*2</f>
        <v>0</v>
      </c>
      <c r="D56" s="360"/>
      <c r="E56" s="351">
        <f t="shared" si="1"/>
        <v>0</v>
      </c>
      <c r="F56" s="460"/>
      <c r="G56" s="446"/>
      <c r="H56" s="446"/>
      <c r="I56" s="446"/>
      <c r="J56" s="446"/>
      <c r="K56" s="446"/>
      <c r="L56" s="412"/>
    </row>
    <row r="57" spans="1:12" ht="12" customHeight="1">
      <c r="A57" s="412"/>
      <c r="B57" s="459" t="s">
        <v>598</v>
      </c>
      <c r="C57" s="361">
        <f>C15*(C6+C9)*2</f>
        <v>0</v>
      </c>
      <c r="D57" s="360"/>
      <c r="E57" s="351">
        <f t="shared" si="1"/>
        <v>0</v>
      </c>
      <c r="F57" s="708"/>
      <c r="G57" s="446"/>
      <c r="H57" s="446"/>
      <c r="I57" s="446"/>
      <c r="J57" s="446"/>
      <c r="K57" s="446"/>
      <c r="L57" s="412"/>
    </row>
    <row r="58" spans="1:12" ht="12" customHeight="1">
      <c r="A58" s="412"/>
      <c r="B58" s="459" t="s">
        <v>436</v>
      </c>
      <c r="C58" s="361">
        <f>C13*(C7+C10)*2</f>
        <v>0</v>
      </c>
      <c r="D58" s="355"/>
      <c r="E58" s="351">
        <f t="shared" si="1"/>
        <v>0</v>
      </c>
      <c r="F58" s="654"/>
      <c r="G58" s="446"/>
      <c r="H58" s="446"/>
      <c r="I58" s="446"/>
      <c r="J58" s="446"/>
      <c r="K58" s="446"/>
      <c r="L58" s="412"/>
    </row>
    <row r="59" spans="1:12" ht="12" customHeight="1">
      <c r="A59" s="412"/>
      <c r="B59" s="532" t="s">
        <v>145</v>
      </c>
      <c r="C59" s="513">
        <f>C24</f>
        <v>0</v>
      </c>
      <c r="D59" s="529"/>
      <c r="E59" s="407">
        <f t="shared" si="1"/>
        <v>0</v>
      </c>
      <c r="F59" s="654"/>
      <c r="G59" s="446"/>
      <c r="H59" s="446"/>
      <c r="I59" s="446"/>
      <c r="J59" s="446"/>
      <c r="K59" s="446"/>
      <c r="L59" s="412"/>
    </row>
    <row r="60" spans="1:12" ht="12" customHeight="1">
      <c r="A60" s="412"/>
      <c r="B60" s="532" t="s">
        <v>148</v>
      </c>
      <c r="C60" s="513">
        <f>C23</f>
        <v>0</v>
      </c>
      <c r="D60" s="529"/>
      <c r="E60" s="407">
        <f t="shared" si="1"/>
        <v>0</v>
      </c>
      <c r="F60" s="654"/>
      <c r="G60" s="446"/>
      <c r="H60" s="446"/>
      <c r="I60" s="446"/>
      <c r="J60" s="446"/>
      <c r="K60" s="446"/>
      <c r="L60" s="412"/>
    </row>
    <row r="61" spans="1:12" ht="12" customHeight="1" thickBot="1">
      <c r="A61" s="412"/>
      <c r="B61" s="461" t="s">
        <v>599</v>
      </c>
      <c r="C61" s="409">
        <f>C16*(C7+C10)*2</f>
        <v>0</v>
      </c>
      <c r="D61" s="410"/>
      <c r="E61" s="411">
        <f t="shared" si="1"/>
        <v>0</v>
      </c>
      <c r="F61" s="654"/>
      <c r="G61" s="446"/>
      <c r="H61" s="446"/>
      <c r="I61" s="446"/>
      <c r="J61" s="446"/>
      <c r="K61" s="446"/>
      <c r="L61" s="412"/>
    </row>
    <row r="62" spans="1:12" ht="12" customHeight="1" thickBot="1">
      <c r="A62" s="412"/>
      <c r="B62" s="446"/>
      <c r="C62" s="446"/>
      <c r="D62" s="462" t="s">
        <v>9</v>
      </c>
      <c r="E62" s="534">
        <f>SUMIF(E27:E61,"&gt;0",E27:E61)</f>
        <v>0</v>
      </c>
      <c r="F62" s="654"/>
      <c r="G62" s="446"/>
      <c r="H62" s="446"/>
      <c r="I62" s="446"/>
      <c r="J62" s="446"/>
      <c r="K62" s="446"/>
      <c r="L62" s="412"/>
    </row>
    <row r="63" spans="1:12">
      <c r="A63" s="412"/>
      <c r="B63" s="446"/>
      <c r="C63" s="446"/>
      <c r="D63" s="446"/>
      <c r="E63" s="446"/>
      <c r="F63" s="654"/>
      <c r="G63" s="446"/>
      <c r="H63" s="446"/>
      <c r="I63" s="446"/>
      <c r="J63" s="446"/>
      <c r="K63" s="446"/>
      <c r="L63" s="412"/>
    </row>
    <row r="64" spans="1:12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1:12" ht="11.25" customHeight="1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</row>
    <row r="66" spans="1:12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</row>
    <row r="67" spans="1:12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</row>
    <row r="68" spans="1:12">
      <c r="A68" s="412"/>
      <c r="B68" s="412"/>
      <c r="C68" s="412"/>
      <c r="D68" s="412"/>
      <c r="E68" s="412"/>
      <c r="F68" s="412"/>
      <c r="G68" s="412"/>
      <c r="H68" s="412"/>
      <c r="I68" s="412"/>
      <c r="J68" s="412"/>
      <c r="K68" s="412"/>
      <c r="L68" s="412"/>
    </row>
    <row r="69" spans="1:12">
      <c r="A69" s="412"/>
      <c r="B69" s="412"/>
      <c r="C69" s="412"/>
      <c r="D69" s="412"/>
      <c r="E69" s="412"/>
      <c r="F69" s="412"/>
      <c r="G69" s="412"/>
      <c r="H69" s="412"/>
      <c r="I69" s="412"/>
      <c r="J69" s="412"/>
      <c r="K69" s="412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121" priority="54" operator="greaterThan">
      <formula>0</formula>
    </cfRule>
  </conditionalFormatting>
  <conditionalFormatting sqref="C18">
    <cfRule type="cellIs" dxfId="120" priority="58" operator="greaterThan">
      <formula>0</formula>
    </cfRule>
  </conditionalFormatting>
  <conditionalFormatting sqref="C18">
    <cfRule type="cellIs" dxfId="119" priority="57" operator="greaterThan">
      <formula>0</formula>
    </cfRule>
  </conditionalFormatting>
  <conditionalFormatting sqref="C18">
    <cfRule type="cellIs" dxfId="118" priority="56" operator="greaterThan">
      <formula>0</formula>
    </cfRule>
  </conditionalFormatting>
  <conditionalFormatting sqref="C18">
    <cfRule type="cellIs" dxfId="117" priority="55" operator="greaterThan">
      <formula>0</formula>
    </cfRule>
  </conditionalFormatting>
  <conditionalFormatting sqref="C54:E54">
    <cfRule type="cellIs" dxfId="116" priority="53" operator="greaterThan">
      <formula>0</formula>
    </cfRule>
  </conditionalFormatting>
  <conditionalFormatting sqref="C55:E55">
    <cfRule type="cellIs" dxfId="115" priority="52" operator="greaterThan">
      <formula>0</formula>
    </cfRule>
  </conditionalFormatting>
  <conditionalFormatting sqref="C54:E55">
    <cfRule type="cellIs" dxfId="114" priority="51" operator="greaterThan">
      <formula>0</formula>
    </cfRule>
  </conditionalFormatting>
  <conditionalFormatting sqref="C54:E55">
    <cfRule type="cellIs" dxfId="113" priority="50" operator="greaterThan">
      <formula>0</formula>
    </cfRule>
  </conditionalFormatting>
  <conditionalFormatting sqref="C54:E55">
    <cfRule type="cellIs" dxfId="112" priority="49" operator="greaterThan">
      <formula>0</formula>
    </cfRule>
  </conditionalFormatting>
  <conditionalFormatting sqref="J3:J19">
    <cfRule type="cellIs" dxfId="111" priority="22" operator="greaterThan">
      <formula>0</formula>
    </cfRule>
    <cfRule type="cellIs" dxfId="110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109" priority="43" operator="equal">
      <formula>"ДА"</formula>
    </cfRule>
    <cfRule type="cellIs" dxfId="108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07" priority="40" operator="equal">
      <formula>"ДА"</formula>
    </cfRule>
    <cfRule type="cellIs" dxfId="106" priority="41" operator="equal">
      <formula>"НЕТ"</formula>
    </cfRule>
  </conditionalFormatting>
  <conditionalFormatting sqref="I5">
    <cfRule type="cellIs" dxfId="105" priority="37" operator="equal">
      <formula>"ДА"</formula>
    </cfRule>
    <cfRule type="cellIs" dxfId="104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03" priority="33" operator="equal">
      <formula>"ДА"</formula>
    </cfRule>
    <cfRule type="cellIs" dxfId="102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101" priority="29" operator="equal">
      <formula>"ДА"</formula>
    </cfRule>
    <cfRule type="cellIs" dxfId="100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99" priority="27" operator="equal">
      <formula>"ДА"</formula>
    </cfRule>
    <cfRule type="cellIs" dxfId="98" priority="28" operator="equal">
      <formula>"НЕТ"</formula>
    </cfRule>
  </conditionalFormatting>
  <conditionalFormatting sqref="I19">
    <cfRule type="cellIs" dxfId="97" priority="25" operator="equal">
      <formula>"ДА"</formula>
    </cfRule>
    <cfRule type="cellIs" dxfId="96" priority="26" operator="equal">
      <formula>"НЕТ"</formula>
    </cfRule>
  </conditionalFormatting>
  <conditionalFormatting sqref="K3:K19">
    <cfRule type="cellIs" dxfId="95" priority="24" operator="greaterThan">
      <formula>0</formula>
    </cfRule>
  </conditionalFormatting>
  <conditionalFormatting sqref="I15:I19">
    <cfRule type="cellIs" dxfId="94" priority="21" operator="equal">
      <formula>"НЕТ"</formula>
    </cfRule>
  </conditionalFormatting>
  <conditionalFormatting sqref="I3:I19">
    <cfRule type="cellIs" dxfId="93" priority="19" operator="equal">
      <formula>"НЕТ"</formula>
    </cfRule>
    <cfRule type="cellIs" dxfId="92" priority="20" operator="equal">
      <formula>"ДА"</formula>
    </cfRule>
  </conditionalFormatting>
  <conditionalFormatting sqref="I3:I18">
    <cfRule type="cellIs" dxfId="91" priority="18" operator="equal">
      <formula>"ДА"</formula>
    </cfRule>
  </conditionalFormatting>
  <conditionalFormatting sqref="I5">
    <cfRule type="cellIs" dxfId="90" priority="15" operator="equal">
      <formula>"ДА"</formula>
    </cfRule>
    <cfRule type="cellIs" dxfId="89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88" priority="12" operator="equal">
      <formula>"ДА"</formula>
    </cfRule>
    <cfRule type="cellIs" dxfId="87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86" priority="3" operator="greaterThan">
      <formula>0</formula>
    </cfRule>
    <cfRule type="cellIs" dxfId="85" priority="7" operator="greaterThan">
      <formula>0</formula>
    </cfRule>
    <cfRule type="cellIs" dxfId="84" priority="11" operator="greaterThan">
      <formula>0</formula>
    </cfRule>
  </conditionalFormatting>
  <conditionalFormatting sqref="I5">
    <cfRule type="cellIs" dxfId="83" priority="8" operator="equal">
      <formula>"ДА"</formula>
    </cfRule>
    <cfRule type="cellIs" dxfId="82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81" priority="6" operator="greaterThan">
      <formula>0</formula>
    </cfRule>
  </conditionalFormatting>
  <conditionalFormatting sqref="C44:E58 C61:E61">
    <cfRule type="cellIs" dxfId="80" priority="5" operator="greaterThan">
      <formula>0</formula>
    </cfRule>
  </conditionalFormatting>
  <conditionalFormatting sqref="E62">
    <cfRule type="cellIs" dxfId="79" priority="4" operator="greaterThan">
      <formula>0</formula>
    </cfRule>
  </conditionalFormatting>
  <conditionalFormatting sqref="C23:C24">
    <cfRule type="cellIs" dxfId="78" priority="2" operator="greaterThan">
      <formula>0</formula>
    </cfRule>
  </conditionalFormatting>
  <conditionalFormatting sqref="C59:E60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</row>
    <row r="2" spans="1:12" ht="12" customHeight="1" thickBot="1">
      <c r="A2" s="412"/>
      <c r="B2" s="414" t="s">
        <v>556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323"/>
    </row>
    <row r="3" spans="1:12" ht="12" customHeight="1">
      <c r="A3" s="412"/>
      <c r="B3" s="424" t="s">
        <v>557</v>
      </c>
      <c r="C3" s="558">
        <v>0</v>
      </c>
      <c r="D3" s="1186"/>
      <c r="E3" s="1172"/>
      <c r="F3" s="1173"/>
      <c r="G3" s="446"/>
      <c r="H3" s="420" t="s">
        <v>489</v>
      </c>
      <c r="I3" s="630" t="str">
        <f>IF(AND($C$8+$C$9=1,$C$10+$C$11=0,$C$12=1),"ДА","НЕТ")</f>
        <v>НЕТ</v>
      </c>
      <c r="J3" s="325"/>
      <c r="K3" s="326">
        <f>IF(I3="ДА",($C$6+$C$7)*J3,0)</f>
        <v>0</v>
      </c>
      <c r="L3" s="323"/>
    </row>
    <row r="4" spans="1:12" ht="12" customHeight="1">
      <c r="A4" s="412"/>
      <c r="B4" s="521" t="s">
        <v>558</v>
      </c>
      <c r="C4" s="626">
        <v>0</v>
      </c>
      <c r="D4" s="1186"/>
      <c r="E4" s="1172"/>
      <c r="F4" s="1173"/>
      <c r="G4" s="446"/>
      <c r="H4" s="425" t="s">
        <v>486</v>
      </c>
      <c r="I4" s="631" t="str">
        <f>IF(AND($C$8+$C$9=1,$C$10+$C$11=0,$C$12=3),"ДА","НЕТ")</f>
        <v>НЕТ</v>
      </c>
      <c r="J4" s="332"/>
      <c r="K4" s="326">
        <f t="shared" ref="K4:K15" si="0">IF(I4="ДА",($C$6+$C$7)*J4,0)</f>
        <v>0</v>
      </c>
      <c r="L4" s="323"/>
    </row>
    <row r="5" spans="1:12" ht="12" customHeight="1" thickBot="1">
      <c r="A5" s="412"/>
      <c r="B5" s="419" t="s">
        <v>559</v>
      </c>
      <c r="C5" s="466">
        <v>0</v>
      </c>
      <c r="D5" s="1169"/>
      <c r="E5" s="1170"/>
      <c r="F5" s="1171"/>
      <c r="G5" s="446"/>
      <c r="H5" s="425" t="s">
        <v>591</v>
      </c>
      <c r="I5" s="631" t="str">
        <f>IF(AND($C$8+$C$9=1,$C$10+$C$11=0,$C$12=3),"ДА","НЕТ")</f>
        <v>НЕТ</v>
      </c>
      <c r="J5" s="332"/>
      <c r="K5" s="326">
        <f t="shared" si="0"/>
        <v>0</v>
      </c>
      <c r="L5" s="323"/>
    </row>
    <row r="6" spans="1:12" ht="12" customHeight="1">
      <c r="A6" s="412"/>
      <c r="B6" s="414" t="s">
        <v>560</v>
      </c>
      <c r="C6" s="593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IF(AND($C$8+$C$9=1,$C$10+$C$11=0,$C$12=2),"ДА","НЕТ")</f>
        <v>НЕТ</v>
      </c>
      <c r="J6" s="332"/>
      <c r="K6" s="326">
        <f t="shared" si="0"/>
        <v>0</v>
      </c>
      <c r="L6" s="323"/>
    </row>
    <row r="7" spans="1:12" ht="12" customHeight="1" thickBot="1">
      <c r="A7" s="412"/>
      <c r="B7" s="447" t="s">
        <v>561</v>
      </c>
      <c r="C7" s="595">
        <v>0</v>
      </c>
      <c r="D7" s="1169"/>
      <c r="E7" s="1170"/>
      <c r="F7" s="1171"/>
      <c r="G7" s="446"/>
      <c r="H7" s="425" t="s">
        <v>488</v>
      </c>
      <c r="I7" s="631" t="str">
        <f>IF(AND($C$8+$C$9=1,$C$10+$C$11=0,$C$12=2),"ДА","НЕТ")</f>
        <v>НЕТ</v>
      </c>
      <c r="J7" s="332"/>
      <c r="K7" s="326">
        <f t="shared" si="0"/>
        <v>0</v>
      </c>
      <c r="L7" s="323"/>
    </row>
    <row r="8" spans="1:12" ht="12" customHeight="1">
      <c r="A8" s="412"/>
      <c r="B8" s="426" t="s">
        <v>498</v>
      </c>
      <c r="C8" s="556">
        <v>0</v>
      </c>
      <c r="D8" s="429" t="s">
        <v>287</v>
      </c>
      <c r="E8" s="430" t="s">
        <v>255</v>
      </c>
      <c r="F8" s="1175" t="s">
        <v>597</v>
      </c>
      <c r="G8" s="446"/>
      <c r="H8" s="425" t="s">
        <v>494</v>
      </c>
      <c r="I8" s="631" t="str">
        <f>IF(AND($C$8+$C$9=1,$C$10+$C$11=0,$C$12=2),"ДА","НЕТ")</f>
        <v>НЕТ</v>
      </c>
      <c r="J8" s="332"/>
      <c r="K8" s="326">
        <f t="shared" si="0"/>
        <v>0</v>
      </c>
      <c r="L8" s="323"/>
    </row>
    <row r="9" spans="1:12" ht="12" customHeight="1">
      <c r="A9" s="412"/>
      <c r="B9" s="424" t="s">
        <v>499</v>
      </c>
      <c r="C9" s="468">
        <v>0</v>
      </c>
      <c r="D9" s="431" t="s">
        <v>287</v>
      </c>
      <c r="E9" s="432" t="s">
        <v>255</v>
      </c>
      <c r="F9" s="1175"/>
      <c r="G9" s="446"/>
      <c r="H9" s="420" t="s">
        <v>590</v>
      </c>
      <c r="I9" s="631" t="str">
        <f>IF(AND($C$8+$C$9=1,$C$10+$C$11=0,$C$12=1),"ДА","НЕТ")</f>
        <v>НЕТ</v>
      </c>
      <c r="J9" s="325"/>
      <c r="K9" s="326">
        <f t="shared" si="0"/>
        <v>0</v>
      </c>
      <c r="L9" s="323"/>
    </row>
    <row r="10" spans="1:12" ht="12" customHeight="1">
      <c r="A10" s="412"/>
      <c r="B10" s="426" t="s">
        <v>500</v>
      </c>
      <c r="C10" s="469">
        <v>0</v>
      </c>
      <c r="D10" s="429" t="s">
        <v>287</v>
      </c>
      <c r="E10" s="430" t="s">
        <v>255</v>
      </c>
      <c r="F10" s="1175"/>
      <c r="G10" s="446"/>
      <c r="H10" s="420" t="s">
        <v>383</v>
      </c>
      <c r="I10" s="631" t="str">
        <f>IF(AND($C$8+$C$9=0,$C$10+$C$11=1,$C$12=1),"ДА","НЕТ")</f>
        <v>НЕТ</v>
      </c>
      <c r="J10" s="332"/>
      <c r="K10" s="326">
        <f t="shared" si="0"/>
        <v>0</v>
      </c>
      <c r="L10" s="323"/>
    </row>
    <row r="11" spans="1:12" ht="12" customHeight="1" thickBot="1">
      <c r="A11" s="412"/>
      <c r="B11" s="419" t="s">
        <v>501</v>
      </c>
      <c r="C11" s="470">
        <v>0</v>
      </c>
      <c r="D11" s="434" t="s">
        <v>287</v>
      </c>
      <c r="E11" s="435" t="s">
        <v>255</v>
      </c>
      <c r="F11" s="1176"/>
      <c r="G11" s="446"/>
      <c r="H11" s="423" t="s">
        <v>384</v>
      </c>
      <c r="I11" s="631" t="str">
        <f>IF(AND($C$8+$C$9=0,$C$10+$C$11=1,$C$12=1),"ДА","НЕТ")</f>
        <v>НЕТ</v>
      </c>
      <c r="J11" s="332"/>
      <c r="K11" s="326">
        <f t="shared" si="0"/>
        <v>0</v>
      </c>
      <c r="L11" s="323"/>
    </row>
    <row r="12" spans="1:12" ht="12" customHeight="1" thickBot="1">
      <c r="A12" s="412"/>
      <c r="B12" s="436" t="s">
        <v>589</v>
      </c>
      <c r="C12" s="555">
        <v>0</v>
      </c>
      <c r="D12" s="440" t="s">
        <v>619</v>
      </c>
      <c r="E12" s="441" t="s">
        <v>620</v>
      </c>
      <c r="F12" s="651" t="s">
        <v>621</v>
      </c>
      <c r="G12" s="446"/>
      <c r="H12" s="423" t="s">
        <v>385</v>
      </c>
      <c r="I12" s="631" t="str">
        <f>IF(AND($C$8+$C$9=0,$C$10+$C$11=1,$C$12=1),"ДА","НЕТ")</f>
        <v>НЕТ</v>
      </c>
      <c r="J12" s="335"/>
      <c r="K12" s="326">
        <f t="shared" si="0"/>
        <v>0</v>
      </c>
      <c r="L12" s="323"/>
    </row>
    <row r="13" spans="1:12" ht="12" customHeight="1">
      <c r="A13" s="412"/>
      <c r="B13" s="426" t="s">
        <v>397</v>
      </c>
      <c r="C13" s="469">
        <v>0</v>
      </c>
      <c r="D13" s="427" t="s">
        <v>287</v>
      </c>
      <c r="E13" s="428" t="s">
        <v>255</v>
      </c>
      <c r="F13" s="1187" t="s">
        <v>597</v>
      </c>
      <c r="G13" s="446"/>
      <c r="H13" s="420" t="s">
        <v>388</v>
      </c>
      <c r="I13" s="631" t="str">
        <f>IF(AND($C$8+$C$9=0,$C$10+$C$11=1,$C$12=2),"ДА","НЕТ")</f>
        <v>НЕТ</v>
      </c>
      <c r="J13" s="332"/>
      <c r="K13" s="326">
        <f t="shared" si="0"/>
        <v>0</v>
      </c>
      <c r="L13" s="323"/>
    </row>
    <row r="14" spans="1:12" ht="12" customHeight="1" thickBot="1">
      <c r="A14" s="412"/>
      <c r="B14" s="419" t="s">
        <v>398</v>
      </c>
      <c r="C14" s="470">
        <v>0</v>
      </c>
      <c r="D14" s="434" t="s">
        <v>287</v>
      </c>
      <c r="E14" s="435" t="s">
        <v>255</v>
      </c>
      <c r="F14" s="1188"/>
      <c r="G14" s="446"/>
      <c r="H14" s="423" t="s">
        <v>389</v>
      </c>
      <c r="I14" s="631" t="str">
        <f>IF(AND($C$8+$C$9=0,$C$10+$C$11=1,$C$12=2),"ДА","НЕТ")</f>
        <v>НЕТ</v>
      </c>
      <c r="J14" s="332"/>
      <c r="K14" s="326">
        <f t="shared" si="0"/>
        <v>0</v>
      </c>
      <c r="L14" s="323"/>
    </row>
    <row r="15" spans="1:12" ht="12" customHeight="1" thickBo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44" t="s">
        <v>390</v>
      </c>
      <c r="I15" s="641" t="str">
        <f>IF(AND($C$8+$C$9=0,$C$10+$C$11=1,$C$12=2),"ДА","НЕТ")</f>
        <v>НЕТ</v>
      </c>
      <c r="J15" s="339"/>
      <c r="K15" s="482">
        <f t="shared" si="0"/>
        <v>0</v>
      </c>
      <c r="L15" s="323"/>
    </row>
    <row r="16" spans="1:12" ht="12" customHeight="1" thickBot="1">
      <c r="A16" s="412"/>
      <c r="B16" s="419" t="s">
        <v>146</v>
      </c>
      <c r="C16" s="470">
        <v>0</v>
      </c>
      <c r="D16" s="1183" t="s">
        <v>687</v>
      </c>
      <c r="E16" s="1184"/>
      <c r="F16" s="1185"/>
      <c r="G16" s="446"/>
      <c r="H16" s="571"/>
      <c r="I16" s="735"/>
      <c r="J16" s="343"/>
      <c r="K16" s="344"/>
      <c r="L16" s="323"/>
    </row>
    <row r="17" spans="1:12" ht="12" customHeight="1" thickBot="1">
      <c r="A17" s="412"/>
      <c r="B17" s="646"/>
      <c r="C17" s="646"/>
      <c r="D17" s="646"/>
      <c r="E17" s="646"/>
      <c r="F17" s="446"/>
      <c r="G17" s="446"/>
      <c r="H17" s="571"/>
      <c r="I17" s="735"/>
      <c r="J17" s="343"/>
      <c r="K17" s="344"/>
      <c r="L17" s="323"/>
    </row>
    <row r="18" spans="1:12" ht="12" customHeight="1" thickBot="1">
      <c r="A18" s="412"/>
      <c r="B18" s="501" t="s">
        <v>5</v>
      </c>
      <c r="C18" s="502" t="s">
        <v>0</v>
      </c>
      <c r="D18" s="503" t="s">
        <v>4</v>
      </c>
      <c r="E18" s="504" t="s">
        <v>8</v>
      </c>
      <c r="F18" s="446"/>
      <c r="G18" s="446"/>
      <c r="H18" s="446"/>
      <c r="I18" s="446"/>
      <c r="J18" s="446"/>
      <c r="K18" s="446"/>
      <c r="L18" s="323"/>
    </row>
    <row r="19" spans="1:12" ht="12" customHeight="1">
      <c r="A19" s="412"/>
      <c r="B19" s="458" t="s">
        <v>401</v>
      </c>
      <c r="C19" s="354">
        <f>(C2+C3)*(C6+C7)</f>
        <v>0</v>
      </c>
      <c r="D19" s="360">
        <v>1</v>
      </c>
      <c r="E19" s="351">
        <f t="shared" ref="E19:E43" si="1">C19*D19</f>
        <v>0</v>
      </c>
      <c r="F19" s="446"/>
      <c r="G19" s="446"/>
      <c r="H19" s="446"/>
      <c r="I19" s="446"/>
      <c r="J19" s="446"/>
      <c r="K19" s="446"/>
      <c r="L19" s="323"/>
    </row>
    <row r="20" spans="1:12" ht="12" customHeight="1">
      <c r="A20" s="412"/>
      <c r="B20" s="458" t="s">
        <v>402</v>
      </c>
      <c r="C20" s="354">
        <f>IF(C14=1,(C2+C3)*(C6+C7),0)</f>
        <v>0</v>
      </c>
      <c r="D20" s="360"/>
      <c r="E20" s="351">
        <f t="shared" si="1"/>
        <v>0</v>
      </c>
      <c r="F20" s="446"/>
      <c r="G20" s="446"/>
      <c r="H20" s="446"/>
      <c r="I20" s="446"/>
      <c r="J20" s="446"/>
      <c r="K20" s="446"/>
      <c r="L20" s="323"/>
    </row>
    <row r="21" spans="1:12" ht="12" customHeight="1">
      <c r="A21" s="412"/>
      <c r="B21" s="456" t="s">
        <v>399</v>
      </c>
      <c r="C21" s="349">
        <f>IF(AND(C13=1,C14=0),(C6+C7)*4,0)</f>
        <v>0</v>
      </c>
      <c r="D21" s="360"/>
      <c r="E21" s="351">
        <f t="shared" si="1"/>
        <v>0</v>
      </c>
      <c r="F21" s="446"/>
      <c r="G21" s="446"/>
      <c r="H21" s="446"/>
      <c r="I21" s="446"/>
      <c r="J21" s="446"/>
      <c r="K21" s="446"/>
      <c r="L21" s="323"/>
    </row>
    <row r="22" spans="1:12" ht="12" customHeight="1">
      <c r="A22" s="412"/>
      <c r="B22" s="456" t="s">
        <v>400</v>
      </c>
      <c r="C22" s="349">
        <f>IF(AND(C13=0,C14=1),(C6+C7)*2,0)</f>
        <v>0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  <c r="L22" s="323"/>
    </row>
    <row r="23" spans="1:12" ht="12" customHeight="1">
      <c r="A23" s="412"/>
      <c r="B23" s="458" t="s">
        <v>641</v>
      </c>
      <c r="C23" s="354">
        <f>EVEN(ROUNDDOWN(IF((C6+C7)&gt;0,((C2+C3)/0.5)*(C6+C7),0),0))</f>
        <v>0</v>
      </c>
      <c r="D23" s="355"/>
      <c r="E23" s="351">
        <f t="shared" si="1"/>
        <v>0</v>
      </c>
      <c r="F23" s="446"/>
      <c r="G23" s="446"/>
      <c r="H23" s="446"/>
      <c r="I23" s="446"/>
      <c r="J23" s="446"/>
      <c r="K23" s="446"/>
      <c r="L23" s="323"/>
    </row>
    <row r="24" spans="1:12" ht="12" customHeight="1">
      <c r="A24" s="412"/>
      <c r="B24" s="456" t="s">
        <v>676</v>
      </c>
      <c r="C24" s="361">
        <f>(C2+C3)*(C6+C7)</f>
        <v>0</v>
      </c>
      <c r="D24" s="355"/>
      <c r="E24" s="351">
        <f t="shared" si="1"/>
        <v>0</v>
      </c>
      <c r="F24" s="446"/>
      <c r="G24" s="446"/>
      <c r="H24" s="446"/>
      <c r="I24" s="446"/>
      <c r="J24" s="446"/>
      <c r="K24" s="446"/>
      <c r="L24" s="323"/>
    </row>
    <row r="25" spans="1:12" ht="12" customHeight="1">
      <c r="A25" s="412"/>
      <c r="B25" s="458" t="s">
        <v>555</v>
      </c>
      <c r="C25" s="354">
        <f>C6+C7</f>
        <v>0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323"/>
    </row>
    <row r="26" spans="1:12" ht="12" customHeight="1">
      <c r="A26" s="412"/>
      <c r="B26" s="458" t="s">
        <v>420</v>
      </c>
      <c r="C26" s="354">
        <f>IF((C8+C9)&gt;0,(C6+C7)*2,0)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323"/>
    </row>
    <row r="27" spans="1:12" ht="12" customHeight="1">
      <c r="A27" s="412"/>
      <c r="B27" s="458" t="s">
        <v>513</v>
      </c>
      <c r="C27" s="354">
        <f>IF((C10+C11)&gt;0,(C6+C7)*2,0)</f>
        <v>0</v>
      </c>
      <c r="D27" s="360"/>
      <c r="E27" s="351">
        <f t="shared" si="1"/>
        <v>0</v>
      </c>
      <c r="F27" s="446"/>
      <c r="G27" s="446"/>
      <c r="H27" s="446"/>
      <c r="I27" s="446"/>
      <c r="J27" s="446"/>
      <c r="K27" s="446"/>
      <c r="L27" s="323"/>
    </row>
    <row r="28" spans="1:12" ht="12" customHeight="1">
      <c r="A28" s="412"/>
      <c r="B28" s="456" t="s">
        <v>679</v>
      </c>
      <c r="C28" s="357">
        <f>(C6+C7)*2</f>
        <v>0</v>
      </c>
      <c r="D28" s="405"/>
      <c r="E28" s="351">
        <f t="shared" si="1"/>
        <v>0</v>
      </c>
      <c r="F28" s="446"/>
      <c r="G28" s="446"/>
      <c r="H28" s="446"/>
      <c r="I28" s="446"/>
      <c r="J28" s="446"/>
      <c r="K28" s="446"/>
      <c r="L28" s="323"/>
    </row>
    <row r="29" spans="1:12" ht="12" customHeight="1">
      <c r="A29" s="412"/>
      <c r="B29" s="458" t="s">
        <v>644</v>
      </c>
      <c r="C29" s="354">
        <f>(C6+C7)*3</f>
        <v>0</v>
      </c>
      <c r="D29" s="355"/>
      <c r="E29" s="351">
        <v>0</v>
      </c>
      <c r="F29" s="446"/>
      <c r="G29" s="446"/>
      <c r="H29" s="446"/>
      <c r="I29" s="446"/>
      <c r="J29" s="446"/>
      <c r="K29" s="446"/>
      <c r="L29" s="323"/>
    </row>
    <row r="30" spans="1:12" ht="12" customHeight="1">
      <c r="A30" s="412"/>
      <c r="B30" s="687" t="s">
        <v>424</v>
      </c>
      <c r="C30" s="406">
        <f>(C6+C7)*6</f>
        <v>0</v>
      </c>
      <c r="D30" s="269"/>
      <c r="E30" s="279">
        <v>0</v>
      </c>
      <c r="F30" s="446"/>
      <c r="G30" s="446"/>
      <c r="H30" s="446"/>
      <c r="I30" s="446"/>
      <c r="J30" s="446"/>
      <c r="K30" s="446"/>
      <c r="L30" s="323"/>
    </row>
    <row r="31" spans="1:12" ht="12" customHeight="1">
      <c r="A31" s="412"/>
      <c r="B31" s="458" t="s">
        <v>432</v>
      </c>
      <c r="C31" s="349">
        <f>C6*2</f>
        <v>0</v>
      </c>
      <c r="D31" s="403"/>
      <c r="E31" s="351">
        <f t="shared" si="1"/>
        <v>0</v>
      </c>
      <c r="F31" s="446"/>
      <c r="G31" s="446"/>
      <c r="H31" s="446"/>
      <c r="I31" s="446"/>
      <c r="J31" s="446"/>
      <c r="K31" s="446"/>
      <c r="L31" s="323"/>
    </row>
    <row r="32" spans="1:12" ht="12" customHeight="1">
      <c r="A32" s="412"/>
      <c r="B32" s="458" t="s">
        <v>433</v>
      </c>
      <c r="C32" s="354">
        <f>C6*4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323"/>
    </row>
    <row r="33" spans="1:12" ht="12" customHeight="1">
      <c r="A33" s="412"/>
      <c r="B33" s="458" t="s">
        <v>434</v>
      </c>
      <c r="C33" s="354">
        <f>C7*2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323"/>
    </row>
    <row r="34" spans="1:12" ht="12" customHeight="1">
      <c r="A34" s="412"/>
      <c r="B34" s="456" t="s">
        <v>474</v>
      </c>
      <c r="C34" s="354">
        <f>(C2+C3)*(C6+C7)*2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323"/>
    </row>
    <row r="35" spans="1:12" ht="12" customHeight="1">
      <c r="A35" s="412"/>
      <c r="B35" s="456" t="s">
        <v>461</v>
      </c>
      <c r="C35" s="361">
        <f>IF(AND(C6&gt;0,C7=0),(C2+C3)*C6,0)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323"/>
    </row>
    <row r="36" spans="1:12" ht="12" customHeight="1">
      <c r="A36" s="412"/>
      <c r="B36" s="456" t="s">
        <v>462</v>
      </c>
      <c r="C36" s="361">
        <f>IF(AND(C7&gt;0,C6=0),(C2+C3)*C6,0)</f>
        <v>0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323"/>
    </row>
    <row r="37" spans="1:12" ht="12" customHeight="1">
      <c r="A37" s="412"/>
      <c r="B37" s="458" t="s">
        <v>647</v>
      </c>
      <c r="C37" s="361">
        <f>(C6+C7)*2</f>
        <v>0</v>
      </c>
      <c r="D37" s="360"/>
      <c r="E37" s="351">
        <f t="shared" si="1"/>
        <v>0</v>
      </c>
      <c r="F37" s="446"/>
      <c r="G37" s="446"/>
      <c r="H37" s="446"/>
      <c r="I37" s="446"/>
      <c r="J37" s="446"/>
      <c r="K37" s="446"/>
      <c r="L37" s="323"/>
    </row>
    <row r="38" spans="1:12" ht="12" customHeight="1">
      <c r="A38" s="412"/>
      <c r="B38" s="459" t="s">
        <v>378</v>
      </c>
      <c r="C38" s="361">
        <f>C8*C6*2</f>
        <v>0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323"/>
    </row>
    <row r="39" spans="1:12" ht="12" customHeight="1">
      <c r="A39" s="412"/>
      <c r="B39" s="459" t="s">
        <v>598</v>
      </c>
      <c r="C39" s="361">
        <f>C10*C8*2</f>
        <v>0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323"/>
    </row>
    <row r="40" spans="1:12" ht="12" customHeight="1">
      <c r="A40" s="412"/>
      <c r="B40" s="459" t="s">
        <v>436</v>
      </c>
      <c r="C40" s="361">
        <f>C9*C7*2</f>
        <v>0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323"/>
    </row>
    <row r="41" spans="1:12" ht="12" customHeight="1">
      <c r="A41" s="412"/>
      <c r="B41" s="532" t="s">
        <v>145</v>
      </c>
      <c r="C41" s="513">
        <f>C16</f>
        <v>0</v>
      </c>
      <c r="D41" s="529"/>
      <c r="E41" s="407">
        <f t="shared" si="1"/>
        <v>0</v>
      </c>
      <c r="F41" s="446"/>
      <c r="G41" s="446"/>
      <c r="H41" s="446"/>
      <c r="I41" s="446"/>
      <c r="J41" s="446"/>
      <c r="K41" s="446"/>
      <c r="L41" s="323"/>
    </row>
    <row r="42" spans="1:12" ht="12" customHeight="1">
      <c r="A42" s="412"/>
      <c r="B42" s="532" t="s">
        <v>148</v>
      </c>
      <c r="C42" s="513">
        <f>C15</f>
        <v>0</v>
      </c>
      <c r="D42" s="529"/>
      <c r="E42" s="407">
        <f t="shared" si="1"/>
        <v>0</v>
      </c>
      <c r="F42" s="446"/>
      <c r="G42" s="446"/>
      <c r="H42" s="446"/>
      <c r="I42" s="446"/>
      <c r="J42" s="446"/>
      <c r="K42" s="446"/>
      <c r="L42" s="323"/>
    </row>
    <row r="43" spans="1:12" ht="12" customHeight="1" thickBot="1">
      <c r="A43" s="412"/>
      <c r="B43" s="461" t="s">
        <v>599</v>
      </c>
      <c r="C43" s="409">
        <f>C11*C7*2</f>
        <v>0</v>
      </c>
      <c r="D43" s="480"/>
      <c r="E43" s="411">
        <f t="shared" si="1"/>
        <v>0</v>
      </c>
      <c r="F43" s="446"/>
      <c r="G43" s="446"/>
      <c r="H43" s="446"/>
      <c r="I43" s="446"/>
      <c r="J43" s="446"/>
      <c r="K43" s="446"/>
      <c r="L43" s="323"/>
    </row>
    <row r="44" spans="1:12" ht="12" customHeight="1" thickBot="1">
      <c r="A44" s="412"/>
      <c r="B44" s="446"/>
      <c r="C44" s="446"/>
      <c r="D44" s="462" t="s">
        <v>9</v>
      </c>
      <c r="E44" s="534">
        <f>SUMIF(E19:E43,"&gt;0",E19:E43)</f>
        <v>0</v>
      </c>
      <c r="F44" s="446"/>
      <c r="G44" s="446"/>
      <c r="H44" s="446"/>
      <c r="I44" s="446"/>
      <c r="J44" s="446"/>
      <c r="K44" s="446"/>
      <c r="L44" s="323"/>
    </row>
    <row r="45" spans="1:12">
      <c r="A45" s="412"/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323"/>
    </row>
    <row r="46" spans="1:12">
      <c r="A46" s="412"/>
      <c r="B46" s="446"/>
      <c r="C46" s="446"/>
      <c r="D46" s="446"/>
      <c r="E46" s="446"/>
      <c r="F46" s="446"/>
      <c r="G46" s="446"/>
      <c r="H46" s="446"/>
      <c r="I46" s="446"/>
      <c r="J46" s="446"/>
      <c r="K46" s="446"/>
      <c r="L46" s="323"/>
    </row>
    <row r="47" spans="1:12" ht="11.25" customHeight="1">
      <c r="A47" s="412"/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323"/>
    </row>
    <row r="48" spans="1:12">
      <c r="A48" s="412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323"/>
    </row>
    <row r="49" spans="2:12"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</row>
    <row r="50" spans="2:12"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76" priority="34" operator="greaterThan">
      <formula>0</formula>
    </cfRule>
  </conditionalFormatting>
  <conditionalFormatting sqref="C12">
    <cfRule type="cellIs" dxfId="75" priority="35" operator="greaterThan">
      <formula>0</formula>
    </cfRule>
  </conditionalFormatting>
  <conditionalFormatting sqref="C12">
    <cfRule type="cellIs" dxfId="74" priority="39" operator="greaterThan">
      <formula>0</formula>
    </cfRule>
  </conditionalFormatting>
  <conditionalFormatting sqref="C12">
    <cfRule type="cellIs" dxfId="73" priority="38" operator="greaterThan">
      <formula>0</formula>
    </cfRule>
  </conditionalFormatting>
  <conditionalFormatting sqref="C12">
    <cfRule type="cellIs" dxfId="72" priority="37" operator="greaterThan">
      <formula>0</formula>
    </cfRule>
  </conditionalFormatting>
  <conditionalFormatting sqref="C12">
    <cfRule type="cellIs" dxfId="71" priority="36" operator="greaterThan">
      <formula>0</formula>
    </cfRule>
  </conditionalFormatting>
  <conditionalFormatting sqref="J3:K17">
    <cfRule type="cellIs" dxfId="70" priority="6" operator="greaterThan">
      <formula>0</formula>
    </cfRule>
    <cfRule type="cellIs" dxfId="69" priority="10" operator="greaterThan">
      <formula>0</formula>
    </cfRule>
  </conditionalFormatting>
  <conditionalFormatting sqref="J3:J17">
    <cfRule type="cellIs" dxfId="68" priority="11" operator="greaterThan">
      <formula>0</formula>
    </cfRule>
    <cfRule type="cellIs" dxfId="67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" priority="28" operator="equal">
      <formula>"ДА"</formula>
    </cfRule>
    <cfRule type="cellIs" dxfId="65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" priority="25" operator="equal">
      <formula>"ДА"</formula>
    </cfRule>
    <cfRule type="cellIs" dxfId="63" priority="26" operator="equal">
      <formula>"НЕТ"</formula>
    </cfRule>
  </conditionalFormatting>
  <conditionalFormatting sqref="I5">
    <cfRule type="cellIs" dxfId="62" priority="22" operator="equal">
      <formula>"ДА"</formula>
    </cfRule>
    <cfRule type="cellIs" dxfId="61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0" priority="18" operator="equal">
      <formula>"ДА"</formula>
    </cfRule>
    <cfRule type="cellIs" dxfId="59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" priority="14" operator="equal">
      <formula>"ДА"</formula>
    </cfRule>
    <cfRule type="cellIs" dxfId="57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6" priority="13" operator="greaterThan">
      <formula>0</formula>
    </cfRule>
  </conditionalFormatting>
  <conditionalFormatting sqref="C2:C14">
    <cfRule type="cellIs" dxfId="55" priority="9" operator="greaterThan">
      <formula>0</formula>
    </cfRule>
  </conditionalFormatting>
  <conditionalFormatting sqref="C19:E29 C31:E40 C43:E43">
    <cfRule type="cellIs" dxfId="54" priority="8" operator="greaterThan">
      <formula>0</formula>
    </cfRule>
  </conditionalFormatting>
  <conditionalFormatting sqref="E44">
    <cfRule type="cellIs" dxfId="53" priority="7" operator="greaterThan">
      <formula>0</formula>
    </cfRule>
  </conditionalFormatting>
  <conditionalFormatting sqref="C30">
    <cfRule type="cellIs" dxfId="52" priority="3" operator="greaterThan">
      <formula>0</formula>
    </cfRule>
  </conditionalFormatting>
  <conditionalFormatting sqref="D30:E30">
    <cfRule type="cellIs" dxfId="51" priority="5" operator="greaterThan">
      <formula>0</formula>
    </cfRule>
  </conditionalFormatting>
  <conditionalFormatting sqref="C30">
    <cfRule type="cellIs" dxfId="50" priority="4" operator="greaterThan">
      <formula>0</formula>
    </cfRule>
  </conditionalFormatting>
  <conditionalFormatting sqref="C15:C16">
    <cfRule type="cellIs" dxfId="49" priority="2" operator="greaterThan">
      <formula>0</formula>
    </cfRule>
  </conditionalFormatting>
  <conditionalFormatting sqref="C41:E42">
    <cfRule type="cellIs" dxfId="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4" activePane="bottomLeft" state="frozen"/>
      <selection pane="bottomLeft" activeCell="D58" sqref="D5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659" t="s">
        <v>556</v>
      </c>
      <c r="C2" s="615">
        <v>0</v>
      </c>
      <c r="D2" s="1166" t="s">
        <v>595</v>
      </c>
      <c r="E2" s="1167"/>
      <c r="F2" s="1168"/>
      <c r="G2" s="412"/>
      <c r="H2" s="416" t="s">
        <v>485</v>
      </c>
      <c r="I2" s="695" t="s">
        <v>604</v>
      </c>
      <c r="J2" s="417" t="s">
        <v>4</v>
      </c>
      <c r="K2" s="418" t="s">
        <v>8</v>
      </c>
      <c r="L2" s="412"/>
      <c r="M2" s="412"/>
    </row>
    <row r="3" spans="1:13" ht="12" customHeight="1">
      <c r="A3" s="412"/>
      <c r="B3" s="660" t="s">
        <v>557</v>
      </c>
      <c r="C3" s="257">
        <v>0</v>
      </c>
      <c r="D3" s="1186"/>
      <c r="E3" s="1172"/>
      <c r="F3" s="1173"/>
      <c r="G3" s="412"/>
      <c r="H3" s="420" t="s">
        <v>489</v>
      </c>
      <c r="I3" s="630" t="str">
        <f>IF(AND($C$9+$C$10+$C$11=1,$C$12+$C$13+$C$14=0,$C$15=1),"ДА","НЕТ")</f>
        <v>НЕТ</v>
      </c>
      <c r="J3" s="617"/>
      <c r="K3" s="326">
        <f>IF(I3="ДА",($C$6+$C$7+$C$8)*J3,0)</f>
        <v>0</v>
      </c>
      <c r="L3" s="412"/>
      <c r="M3" s="412"/>
    </row>
    <row r="4" spans="1:13" ht="12" customHeight="1">
      <c r="A4" s="412"/>
      <c r="B4" s="709" t="s">
        <v>558</v>
      </c>
      <c r="C4" s="625">
        <v>0</v>
      </c>
      <c r="D4" s="1186"/>
      <c r="E4" s="1172"/>
      <c r="F4" s="1173"/>
      <c r="G4" s="412"/>
      <c r="H4" s="425" t="s">
        <v>486</v>
      </c>
      <c r="I4" s="631" t="str">
        <f>IF(AND($C$9+$C$10+$C$11=1,$C$12+$C$13+$C$14=0,$C$15=3),"ДА","НЕТ")</f>
        <v>НЕТ</v>
      </c>
      <c r="J4" s="618"/>
      <c r="K4" s="330">
        <f t="shared" ref="K4:K19" si="0">IF(I4="ДА",($C$6+$C$7+$C$8)*J4,0)</f>
        <v>0</v>
      </c>
      <c r="L4" s="412"/>
      <c r="M4" s="412"/>
    </row>
    <row r="5" spans="1:13" ht="12" customHeight="1" thickBot="1">
      <c r="A5" s="412"/>
      <c r="B5" s="710" t="s">
        <v>559</v>
      </c>
      <c r="C5" s="616">
        <v>0</v>
      </c>
      <c r="D5" s="1169"/>
      <c r="E5" s="1170"/>
      <c r="F5" s="1171"/>
      <c r="G5" s="412"/>
      <c r="H5" s="425" t="s">
        <v>591</v>
      </c>
      <c r="I5" s="631" t="str">
        <f>IF(AND($C$9+$C$10+$C$11=1,$C$12+$C$13+$C$14=0,$C$15=3),"ДА","НЕТ")</f>
        <v>НЕТ</v>
      </c>
      <c r="J5" s="618"/>
      <c r="K5" s="330">
        <f t="shared" si="0"/>
        <v>0</v>
      </c>
      <c r="L5" s="412"/>
      <c r="M5" s="412"/>
    </row>
    <row r="6" spans="1:13" ht="12" customHeight="1">
      <c r="A6" s="412"/>
      <c r="B6" s="659" t="s">
        <v>562</v>
      </c>
      <c r="C6" s="590">
        <v>0</v>
      </c>
      <c r="D6" s="1166" t="s">
        <v>597</v>
      </c>
      <c r="E6" s="1167"/>
      <c r="F6" s="1168"/>
      <c r="G6" s="496"/>
      <c r="H6" s="425" t="s">
        <v>487</v>
      </c>
      <c r="I6" s="631" t="str">
        <f>IF(AND($C$9+$C$10+$C$11=1,$C$12+$C$13+$C$14=0,$C$15=2),"ДА","НЕТ")</f>
        <v>НЕТ</v>
      </c>
      <c r="J6" s="618"/>
      <c r="K6" s="330">
        <f t="shared" si="0"/>
        <v>0</v>
      </c>
      <c r="L6" s="412"/>
      <c r="M6" s="412"/>
    </row>
    <row r="7" spans="1:13" ht="12" customHeight="1">
      <c r="A7" s="412"/>
      <c r="B7" s="660" t="s">
        <v>561</v>
      </c>
      <c r="C7" s="591">
        <v>0</v>
      </c>
      <c r="D7" s="1186"/>
      <c r="E7" s="1172"/>
      <c r="F7" s="1173"/>
      <c r="G7" s="530"/>
      <c r="H7" s="425" t="s">
        <v>488</v>
      </c>
      <c r="I7" s="631" t="str">
        <f>IF(AND($C$9+$C$10+$C$11=1,$C$12+$C$13+$C$14=0,$C$15=2),"ДА","НЕТ")</f>
        <v>НЕТ</v>
      </c>
      <c r="J7" s="618"/>
      <c r="K7" s="330">
        <f t="shared" si="0"/>
        <v>0</v>
      </c>
      <c r="L7" s="412"/>
      <c r="M7" s="412"/>
    </row>
    <row r="8" spans="1:13" ht="12" customHeight="1" thickBot="1">
      <c r="A8" s="412"/>
      <c r="B8" s="661" t="s">
        <v>678</v>
      </c>
      <c r="C8" s="589">
        <v>0</v>
      </c>
      <c r="D8" s="1169"/>
      <c r="E8" s="1170"/>
      <c r="F8" s="1171"/>
      <c r="G8" s="530"/>
      <c r="H8" s="425" t="s">
        <v>494</v>
      </c>
      <c r="I8" s="631" t="str">
        <f>IF(AND($C$9+$C$10+$C$11=1,$C$12+$C$13+$C$14=0,$C$15=2),"ДА","НЕТ")</f>
        <v>НЕТ</v>
      </c>
      <c r="J8" s="618"/>
      <c r="K8" s="330">
        <f t="shared" si="0"/>
        <v>0</v>
      </c>
      <c r="L8" s="412"/>
      <c r="M8" s="412"/>
    </row>
    <row r="9" spans="1:13" ht="12" customHeight="1">
      <c r="A9" s="412"/>
      <c r="B9" s="659" t="s">
        <v>498</v>
      </c>
      <c r="C9" s="582">
        <v>0</v>
      </c>
      <c r="D9" s="673" t="s">
        <v>287</v>
      </c>
      <c r="E9" s="711" t="s">
        <v>255</v>
      </c>
      <c r="F9" s="1174" t="s">
        <v>597</v>
      </c>
      <c r="G9" s="412"/>
      <c r="H9" s="420" t="s">
        <v>590</v>
      </c>
      <c r="I9" s="631" t="str">
        <f>IF(AND($C$9+$C$10+$C$11=1,$C$12+$C$13+$C$14=0,$C$15=1),"ДА","НЕТ")</f>
        <v>НЕТ</v>
      </c>
      <c r="J9" s="617"/>
      <c r="K9" s="326">
        <f t="shared" si="0"/>
        <v>0</v>
      </c>
      <c r="L9" s="412"/>
      <c r="M9" s="412"/>
    </row>
    <row r="10" spans="1:13" ht="12" customHeight="1">
      <c r="A10" s="412"/>
      <c r="B10" s="660" t="s">
        <v>499</v>
      </c>
      <c r="C10" s="588">
        <v>0</v>
      </c>
      <c r="D10" s="665" t="s">
        <v>287</v>
      </c>
      <c r="E10" s="712" t="s">
        <v>255</v>
      </c>
      <c r="F10" s="1175"/>
      <c r="G10" s="412"/>
      <c r="H10" s="420" t="s">
        <v>383</v>
      </c>
      <c r="I10" s="631" t="str">
        <f>IF(AND($C$9+$C$10+$C$11+$C$14=0,$C$12+$C$13=1,$C$15=1),"ДА","НЕТ")</f>
        <v>НЕТ</v>
      </c>
      <c r="J10" s="619"/>
      <c r="K10" s="333">
        <f t="shared" si="0"/>
        <v>0</v>
      </c>
      <c r="L10" s="412"/>
      <c r="M10" s="412"/>
    </row>
    <row r="11" spans="1:13" ht="12" customHeight="1">
      <c r="A11" s="412"/>
      <c r="B11" s="660" t="s">
        <v>587</v>
      </c>
      <c r="C11" s="588">
        <v>0</v>
      </c>
      <c r="D11" s="665" t="s">
        <v>287</v>
      </c>
      <c r="E11" s="712" t="s">
        <v>255</v>
      </c>
      <c r="F11" s="1175"/>
      <c r="G11" s="412"/>
      <c r="H11" s="423" t="s">
        <v>384</v>
      </c>
      <c r="I11" s="631" t="str">
        <f>IF(AND($C$9+$C$10+$C$11+$C$14=0,$C$12+$C$13=1,$C$15=1),"ДА","НЕТ")</f>
        <v>НЕТ</v>
      </c>
      <c r="J11" s="619"/>
      <c r="K11" s="333">
        <f t="shared" si="0"/>
        <v>0</v>
      </c>
      <c r="L11" s="412"/>
      <c r="M11" s="412"/>
    </row>
    <row r="12" spans="1:13" ht="12" customHeight="1">
      <c r="A12" s="412"/>
      <c r="B12" s="662" t="s">
        <v>500</v>
      </c>
      <c r="C12" s="585">
        <v>0</v>
      </c>
      <c r="D12" s="663" t="s">
        <v>287</v>
      </c>
      <c r="E12" s="713" t="s">
        <v>255</v>
      </c>
      <c r="F12" s="1175"/>
      <c r="G12" s="412"/>
      <c r="H12" s="423" t="s">
        <v>385</v>
      </c>
      <c r="I12" s="631" t="str">
        <f>IF(AND($C$9+$C$10+$C$11+$C$14=0,$C$12+$C$13=1,$C$15=1),"ДА","НЕТ")</f>
        <v>НЕТ</v>
      </c>
      <c r="J12" s="620"/>
      <c r="K12" s="333">
        <f t="shared" si="0"/>
        <v>0</v>
      </c>
      <c r="L12" s="412"/>
      <c r="M12" s="412"/>
    </row>
    <row r="13" spans="1:13" ht="12" customHeight="1">
      <c r="A13" s="412"/>
      <c r="B13" s="660" t="s">
        <v>501</v>
      </c>
      <c r="C13" s="588">
        <v>0</v>
      </c>
      <c r="D13" s="665" t="s">
        <v>287</v>
      </c>
      <c r="E13" s="712" t="s">
        <v>255</v>
      </c>
      <c r="F13" s="1175"/>
      <c r="G13" s="412"/>
      <c r="H13" s="423" t="s">
        <v>592</v>
      </c>
      <c r="I13" s="631" t="str">
        <f>IF(AND($C$9+$C$10+C11+$C$12+$C$13=0,$C$14=1,$C$15=1),"ДА","НЕТ")</f>
        <v>НЕТ</v>
      </c>
      <c r="J13" s="620"/>
      <c r="K13" s="333">
        <f t="shared" si="0"/>
        <v>0</v>
      </c>
      <c r="L13" s="412"/>
      <c r="M13" s="412"/>
    </row>
    <row r="14" spans="1:13" ht="12" customHeight="1" thickBot="1">
      <c r="A14" s="412"/>
      <c r="B14" s="661" t="s">
        <v>588</v>
      </c>
      <c r="C14" s="592">
        <v>0</v>
      </c>
      <c r="D14" s="675" t="s">
        <v>287</v>
      </c>
      <c r="E14" s="714" t="s">
        <v>255</v>
      </c>
      <c r="F14" s="1176"/>
      <c r="G14" s="412"/>
      <c r="H14" s="423" t="s">
        <v>592</v>
      </c>
      <c r="I14" s="631" t="str">
        <f>IF(AND($C$9+$C$10+C12+$C$12+$C$13=0,$C$14=1,$C$15=1),"ДА","НЕТ")</f>
        <v>НЕТ</v>
      </c>
      <c r="J14" s="620"/>
      <c r="K14" s="333">
        <f t="shared" si="0"/>
        <v>0</v>
      </c>
      <c r="L14" s="412"/>
      <c r="M14" s="412"/>
    </row>
    <row r="15" spans="1:13" ht="12" customHeight="1" thickBot="1">
      <c r="A15" s="412"/>
      <c r="B15" s="521" t="s">
        <v>589</v>
      </c>
      <c r="C15" s="627">
        <v>0</v>
      </c>
      <c r="D15" s="633" t="s">
        <v>619</v>
      </c>
      <c r="E15" s="523" t="s">
        <v>620</v>
      </c>
      <c r="F15" s="524" t="s">
        <v>621</v>
      </c>
      <c r="G15" s="412"/>
      <c r="H15" s="420" t="s">
        <v>388</v>
      </c>
      <c r="I15" s="631" t="str">
        <f>IF(AND($C$9+$C$10+$C$11+$C$14=0,$C$12+$C$13=1,$C$15=2),"ДА","НЕТ")</f>
        <v>НЕТ</v>
      </c>
      <c r="J15" s="619"/>
      <c r="K15" s="333">
        <f t="shared" si="0"/>
        <v>0</v>
      </c>
      <c r="L15" s="412"/>
      <c r="M15" s="412"/>
    </row>
    <row r="16" spans="1:13" ht="12" customHeight="1">
      <c r="A16" s="412"/>
      <c r="B16" s="659" t="s">
        <v>361</v>
      </c>
      <c r="C16" s="582">
        <v>0</v>
      </c>
      <c r="D16" s="673" t="s">
        <v>287</v>
      </c>
      <c r="E16" s="711" t="s">
        <v>255</v>
      </c>
      <c r="F16" s="1174" t="s">
        <v>597</v>
      </c>
      <c r="G16" s="412"/>
      <c r="H16" s="423" t="s">
        <v>389</v>
      </c>
      <c r="I16" s="631" t="str">
        <f>IF(AND($C$9+$C$10+$C$11+$C$14=0,$C$12+$C$13=1,$C$15=2),"ДА","НЕТ")</f>
        <v>НЕТ</v>
      </c>
      <c r="J16" s="619"/>
      <c r="K16" s="333">
        <f t="shared" si="0"/>
        <v>0</v>
      </c>
      <c r="L16" s="412"/>
      <c r="M16" s="412"/>
    </row>
    <row r="17" spans="1:13" ht="12" customHeight="1">
      <c r="A17" s="412"/>
      <c r="B17" s="660" t="s">
        <v>362</v>
      </c>
      <c r="C17" s="588">
        <v>0</v>
      </c>
      <c r="D17" s="665" t="s">
        <v>287</v>
      </c>
      <c r="E17" s="712" t="s">
        <v>255</v>
      </c>
      <c r="F17" s="1175"/>
      <c r="G17" s="412"/>
      <c r="H17" s="423" t="s">
        <v>390</v>
      </c>
      <c r="I17" s="631" t="str">
        <f>IF(AND($C$9+$C$10+$C$11+$C$14=0,$C$12+$C$13=1,$C$15=2),"ДА","НЕТ")</f>
        <v>НЕТ</v>
      </c>
      <c r="J17" s="619"/>
      <c r="K17" s="330">
        <f t="shared" si="0"/>
        <v>0</v>
      </c>
      <c r="L17" s="412"/>
      <c r="M17" s="412"/>
    </row>
    <row r="18" spans="1:13" ht="12" customHeight="1">
      <c r="A18" s="412"/>
      <c r="B18" s="660" t="s">
        <v>467</v>
      </c>
      <c r="C18" s="588">
        <v>0</v>
      </c>
      <c r="D18" s="665" t="s">
        <v>287</v>
      </c>
      <c r="E18" s="712" t="s">
        <v>255</v>
      </c>
      <c r="F18" s="1175"/>
      <c r="G18" s="412"/>
      <c r="H18" s="420" t="s">
        <v>593</v>
      </c>
      <c r="I18" s="630" t="str">
        <f>IF(AND($C$9+$C$10+C16+$C$12+$C$13=0,$C$14=1,$C$15=2),"ДА","НЕТ")</f>
        <v>НЕТ</v>
      </c>
      <c r="J18" s="621"/>
      <c r="K18" s="337">
        <f t="shared" si="0"/>
        <v>0</v>
      </c>
      <c r="L18" s="412"/>
      <c r="M18" s="412"/>
    </row>
    <row r="19" spans="1:13" ht="12" customHeight="1" thickBot="1">
      <c r="A19" s="412"/>
      <c r="B19" s="710" t="s">
        <v>466</v>
      </c>
      <c r="C19" s="583">
        <v>0</v>
      </c>
      <c r="D19" s="675" t="s">
        <v>287</v>
      </c>
      <c r="E19" s="714" t="s">
        <v>255</v>
      </c>
      <c r="F19" s="1176"/>
      <c r="G19" s="412"/>
      <c r="H19" s="444" t="s">
        <v>594</v>
      </c>
      <c r="I19" s="641" t="str">
        <f>IF(AND($C$9+$C$10+C17+$C$12+$C$13=0,$C$14=1,$C$15=2),"ДА","НЕТ")</f>
        <v>НЕТ</v>
      </c>
      <c r="J19" s="622"/>
      <c r="K19" s="340">
        <f t="shared" si="0"/>
        <v>0</v>
      </c>
      <c r="L19" s="412"/>
      <c r="M19" s="412"/>
    </row>
    <row r="20" spans="1:13" ht="12" customHeight="1">
      <c r="A20" s="412"/>
      <c r="B20" s="414" t="s">
        <v>147</v>
      </c>
      <c r="C20" s="471">
        <v>0</v>
      </c>
      <c r="D20" s="1177" t="s">
        <v>686</v>
      </c>
      <c r="E20" s="1178"/>
      <c r="F20" s="1179"/>
      <c r="G20" s="412"/>
      <c r="H20" s="412"/>
      <c r="I20" s="412"/>
      <c r="J20" s="412"/>
      <c r="K20" s="412"/>
      <c r="L20" s="412"/>
      <c r="M20" s="412"/>
    </row>
    <row r="21" spans="1:13" s="73" customFormat="1" ht="12" customHeight="1" thickBot="1">
      <c r="A21" s="647"/>
      <c r="B21" s="419" t="s">
        <v>146</v>
      </c>
      <c r="C21" s="470">
        <v>0</v>
      </c>
      <c r="D21" s="1183" t="s">
        <v>687</v>
      </c>
      <c r="E21" s="1184"/>
      <c r="F21" s="1185"/>
      <c r="G21" s="647"/>
      <c r="H21" s="647"/>
      <c r="I21" s="647"/>
      <c r="J21" s="647"/>
      <c r="K21" s="647"/>
      <c r="L21" s="647"/>
      <c r="M21" s="647"/>
    </row>
    <row r="22" spans="1:13" ht="12" customHeight="1" thickBot="1">
      <c r="A22" s="412"/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</row>
    <row r="23" spans="1:13" ht="12" customHeight="1">
      <c r="A23" s="412"/>
      <c r="B23" s="715" t="s">
        <v>5</v>
      </c>
      <c r="C23" s="716" t="s">
        <v>0</v>
      </c>
      <c r="D23" s="717" t="s">
        <v>4</v>
      </c>
      <c r="E23" s="718" t="s">
        <v>8</v>
      </c>
      <c r="F23" s="412"/>
      <c r="G23" s="412"/>
      <c r="H23" s="412"/>
      <c r="I23" s="412"/>
      <c r="J23" s="412"/>
      <c r="K23" s="412"/>
      <c r="L23" s="412"/>
      <c r="M23" s="412"/>
    </row>
    <row r="24" spans="1:13" ht="12" customHeight="1">
      <c r="A24" s="412"/>
      <c r="B24" s="686" t="s">
        <v>563</v>
      </c>
      <c r="C24" s="274">
        <f>(C6+C7+C8)*2*C18</f>
        <v>0</v>
      </c>
      <c r="D24" s="259"/>
      <c r="E24" s="283">
        <f t="shared" ref="E24:E63" si="1">C24*D24</f>
        <v>0</v>
      </c>
      <c r="F24" s="412"/>
      <c r="G24" s="412"/>
      <c r="H24" s="412"/>
      <c r="I24" s="412"/>
      <c r="J24" s="412"/>
      <c r="K24" s="412"/>
      <c r="L24" s="412"/>
      <c r="M24" s="412"/>
    </row>
    <row r="25" spans="1:13" ht="12" customHeight="1">
      <c r="A25" s="412"/>
      <c r="B25" s="686" t="s">
        <v>564</v>
      </c>
      <c r="C25" s="274">
        <f>2*C19*(C6+C7+C8)</f>
        <v>0</v>
      </c>
      <c r="D25" s="861"/>
      <c r="E25" s="283">
        <f t="shared" si="1"/>
        <v>0</v>
      </c>
      <c r="F25" s="412"/>
      <c r="G25" s="412"/>
      <c r="H25" s="412"/>
      <c r="I25" s="412"/>
      <c r="J25" s="412"/>
      <c r="K25" s="412"/>
      <c r="L25" s="412"/>
      <c r="M25" s="412"/>
    </row>
    <row r="26" spans="1:13" ht="12" customHeight="1">
      <c r="A26" s="412"/>
      <c r="B26" s="686" t="s">
        <v>117</v>
      </c>
      <c r="C26" s="274">
        <f>(C17+C16)*4*(C6+C7+C8)</f>
        <v>0</v>
      </c>
      <c r="D26" s="861"/>
      <c r="E26" s="283">
        <f t="shared" si="1"/>
        <v>0</v>
      </c>
      <c r="F26" s="412"/>
      <c r="G26" s="412"/>
      <c r="H26" s="412"/>
      <c r="I26" s="412"/>
      <c r="J26" s="412"/>
      <c r="K26" s="412"/>
      <c r="L26" s="412"/>
      <c r="M26" s="412"/>
    </row>
    <row r="27" spans="1:13" ht="12" customHeight="1">
      <c r="A27" s="412"/>
      <c r="B27" s="687" t="s">
        <v>655</v>
      </c>
      <c r="C27" s="275">
        <f>EVEN(ROUNDDOWN(IF((C6+C7+C8)&gt;0,((C2+C3)/0.5)*(C6+C7+C8),0),0))</f>
        <v>0</v>
      </c>
      <c r="D27" s="259"/>
      <c r="E27" s="283">
        <f t="shared" si="1"/>
        <v>0</v>
      </c>
      <c r="F27" s="412"/>
      <c r="G27" s="412"/>
      <c r="H27" s="412"/>
      <c r="I27" s="412"/>
      <c r="J27" s="412"/>
      <c r="K27" s="412"/>
      <c r="L27" s="412"/>
      <c r="M27" s="412"/>
    </row>
    <row r="28" spans="1:13" ht="12" customHeight="1">
      <c r="A28" s="412"/>
      <c r="B28" s="687" t="s">
        <v>420</v>
      </c>
      <c r="C28" s="275">
        <f>IF(AND(C9+C10+C11&gt;0,C12+C13+C14=0),(C6+C7+C8)*2,0)</f>
        <v>0</v>
      </c>
      <c r="D28" s="259"/>
      <c r="E28" s="283">
        <f t="shared" si="1"/>
        <v>0</v>
      </c>
      <c r="F28" s="412"/>
      <c r="G28" s="412"/>
      <c r="H28" s="412"/>
      <c r="I28" s="412"/>
      <c r="J28" s="412"/>
      <c r="K28" s="412"/>
      <c r="L28" s="412"/>
      <c r="M28" s="412"/>
    </row>
    <row r="29" spans="1:13" ht="12" customHeight="1">
      <c r="A29" s="412"/>
      <c r="B29" s="687" t="s">
        <v>555</v>
      </c>
      <c r="C29" s="275">
        <f>C6+C7+C8</f>
        <v>0</v>
      </c>
      <c r="D29" s="259"/>
      <c r="E29" s="283">
        <f t="shared" si="1"/>
        <v>0</v>
      </c>
      <c r="F29" s="412"/>
      <c r="G29" s="412"/>
      <c r="H29" s="412"/>
      <c r="I29" s="412"/>
      <c r="J29" s="412"/>
      <c r="K29" s="412"/>
      <c r="L29" s="412"/>
      <c r="M29" s="412"/>
    </row>
    <row r="30" spans="1:13" ht="12" customHeight="1">
      <c r="A30" s="412"/>
      <c r="B30" s="687" t="s">
        <v>511</v>
      </c>
      <c r="C30" s="275">
        <f>IF(AND(C12+C13+C14&gt;0,C9+C10+C11=0),(C6+C7+C8)*2,0)</f>
        <v>0</v>
      </c>
      <c r="D30" s="259"/>
      <c r="E30" s="283">
        <f t="shared" si="1"/>
        <v>0</v>
      </c>
      <c r="F30" s="412"/>
      <c r="G30" s="412"/>
      <c r="H30" s="412"/>
      <c r="I30" s="412"/>
      <c r="J30" s="412"/>
      <c r="K30" s="412"/>
      <c r="L30" s="412"/>
      <c r="M30" s="412"/>
    </row>
    <row r="31" spans="1:13" ht="12" customHeight="1">
      <c r="A31" s="412"/>
      <c r="B31" s="686" t="s">
        <v>656</v>
      </c>
      <c r="C31" s="274">
        <f>C6+C7+C8</f>
        <v>0</v>
      </c>
      <c r="D31" s="259"/>
      <c r="E31" s="283">
        <f t="shared" si="1"/>
        <v>0</v>
      </c>
      <c r="F31" s="412"/>
      <c r="G31" s="412"/>
      <c r="H31" s="412"/>
      <c r="I31" s="412"/>
      <c r="J31" s="412"/>
      <c r="K31" s="412"/>
      <c r="L31" s="412"/>
      <c r="M31" s="412"/>
    </row>
    <row r="32" spans="1:13" ht="12" customHeight="1">
      <c r="A32" s="412"/>
      <c r="B32" s="686" t="s">
        <v>657</v>
      </c>
      <c r="C32" s="276">
        <f>C6+C7+C8</f>
        <v>0</v>
      </c>
      <c r="D32" s="259"/>
      <c r="E32" s="283">
        <f t="shared" si="1"/>
        <v>0</v>
      </c>
      <c r="F32" s="412"/>
      <c r="G32" s="412"/>
      <c r="H32" s="412"/>
      <c r="I32" s="412"/>
      <c r="J32" s="412"/>
      <c r="K32" s="412"/>
      <c r="L32" s="412"/>
      <c r="M32" s="412"/>
    </row>
    <row r="33" spans="1:13" ht="12" customHeight="1">
      <c r="A33" s="412"/>
      <c r="B33" s="686" t="s">
        <v>658</v>
      </c>
      <c r="C33" s="274">
        <f>(C6+C7+C8)*2</f>
        <v>0</v>
      </c>
      <c r="D33" s="259"/>
      <c r="E33" s="283">
        <f t="shared" si="1"/>
        <v>0</v>
      </c>
      <c r="F33" s="412"/>
      <c r="G33" s="412"/>
      <c r="H33" s="412"/>
      <c r="I33" s="412"/>
      <c r="J33" s="412"/>
      <c r="K33" s="412"/>
      <c r="L33" s="412"/>
      <c r="M33" s="412"/>
    </row>
    <row r="34" spans="1:13" ht="12" customHeight="1">
      <c r="A34" s="412"/>
      <c r="B34" s="687" t="s">
        <v>445</v>
      </c>
      <c r="C34" s="274">
        <f>IF(C7+C8=0,C6*2,0)</f>
        <v>0</v>
      </c>
      <c r="D34" s="259"/>
      <c r="E34" s="283">
        <f t="shared" si="1"/>
        <v>0</v>
      </c>
      <c r="F34" s="412"/>
      <c r="G34" s="412"/>
      <c r="H34" s="412"/>
      <c r="I34" s="412"/>
      <c r="J34" s="412"/>
      <c r="K34" s="412"/>
      <c r="L34" s="412"/>
      <c r="M34" s="412"/>
    </row>
    <row r="35" spans="1:13" ht="12" customHeight="1">
      <c r="A35" s="412"/>
      <c r="B35" s="687" t="s">
        <v>446</v>
      </c>
      <c r="C35" s="274">
        <f>IF(AND(C6&gt;0,C7+C8=0),C6*4,0)</f>
        <v>0</v>
      </c>
      <c r="D35" s="259"/>
      <c r="E35" s="283">
        <f t="shared" si="1"/>
        <v>0</v>
      </c>
      <c r="F35" s="412"/>
      <c r="G35" s="412"/>
      <c r="H35" s="412"/>
      <c r="I35" s="412"/>
      <c r="J35" s="412"/>
      <c r="K35" s="412"/>
      <c r="L35" s="412"/>
      <c r="M35" s="412"/>
    </row>
    <row r="36" spans="1:13" ht="12" customHeight="1">
      <c r="A36" s="412"/>
      <c r="B36" s="687" t="s">
        <v>652</v>
      </c>
      <c r="C36" s="274">
        <f>IF(AND(C8&gt;0,C6+C7=0),C8*4,0)</f>
        <v>0</v>
      </c>
      <c r="D36" s="259"/>
      <c r="E36" s="283">
        <f>C36*D36</f>
        <v>0</v>
      </c>
      <c r="F36" s="412"/>
      <c r="G36" s="412"/>
      <c r="H36" s="412"/>
      <c r="I36" s="412"/>
      <c r="J36" s="412"/>
      <c r="K36" s="412"/>
      <c r="L36" s="412"/>
      <c r="M36" s="412"/>
    </row>
    <row r="37" spans="1:13" ht="12" customHeight="1">
      <c r="A37" s="412"/>
      <c r="B37" s="687" t="s">
        <v>434</v>
      </c>
      <c r="C37" s="274">
        <f>IF(C6=0,(C7+C8)*2,0)</f>
        <v>0</v>
      </c>
      <c r="D37" s="259"/>
      <c r="E37" s="283">
        <f t="shared" si="1"/>
        <v>0</v>
      </c>
      <c r="F37" s="412"/>
      <c r="G37" s="412"/>
      <c r="H37" s="412"/>
      <c r="I37" s="412"/>
      <c r="J37" s="412"/>
      <c r="K37" s="412"/>
      <c r="L37" s="412"/>
      <c r="M37" s="412"/>
    </row>
    <row r="38" spans="1:13" ht="12" customHeight="1">
      <c r="A38" s="412"/>
      <c r="B38" s="686" t="s">
        <v>474</v>
      </c>
      <c r="C38" s="274">
        <f>(C6+C7+C8)*(C2+C3)</f>
        <v>0</v>
      </c>
      <c r="D38" s="259"/>
      <c r="E38" s="283">
        <f t="shared" si="1"/>
        <v>0</v>
      </c>
      <c r="F38" s="412"/>
      <c r="G38" s="412"/>
      <c r="H38" s="412"/>
      <c r="I38" s="412"/>
      <c r="J38" s="412"/>
      <c r="K38" s="412"/>
      <c r="L38" s="412"/>
      <c r="M38" s="412"/>
    </row>
    <row r="39" spans="1:13" ht="12" customHeight="1">
      <c r="A39" s="412"/>
      <c r="B39" s="686" t="s">
        <v>474</v>
      </c>
      <c r="C39" s="275">
        <f>(C2+C3)*C18*(C6+C7+C8)</f>
        <v>0</v>
      </c>
      <c r="D39" s="259"/>
      <c r="E39" s="283">
        <f t="shared" si="1"/>
        <v>0</v>
      </c>
      <c r="F39" s="530"/>
      <c r="G39" s="412"/>
      <c r="H39" s="412"/>
      <c r="I39" s="412"/>
      <c r="J39" s="412"/>
      <c r="K39" s="412"/>
      <c r="L39" s="412"/>
      <c r="M39" s="412"/>
    </row>
    <row r="40" spans="1:13" ht="12" customHeight="1">
      <c r="A40" s="412"/>
      <c r="B40" s="687" t="s">
        <v>363</v>
      </c>
      <c r="C40" s="275">
        <f>C17*2*(C2+C3)*(C6+C7+C8)</f>
        <v>0</v>
      </c>
      <c r="D40" s="259"/>
      <c r="E40" s="283">
        <f t="shared" si="1"/>
        <v>0</v>
      </c>
      <c r="F40" s="412"/>
      <c r="G40" s="412"/>
      <c r="H40" s="412"/>
      <c r="I40" s="412"/>
      <c r="J40" s="412"/>
      <c r="K40" s="412"/>
      <c r="L40" s="412"/>
      <c r="M40" s="412"/>
    </row>
    <row r="41" spans="1:13" ht="12" customHeight="1">
      <c r="A41" s="412"/>
      <c r="B41" s="687" t="s">
        <v>477</v>
      </c>
      <c r="C41" s="275">
        <f>(C16+C19)*(C2+C3)*(C6+C7+C8)</f>
        <v>0</v>
      </c>
      <c r="D41" s="259"/>
      <c r="E41" s="283">
        <f t="shared" si="1"/>
        <v>0</v>
      </c>
      <c r="F41" s="412"/>
      <c r="G41" s="412"/>
      <c r="H41" s="412"/>
      <c r="I41" s="412"/>
      <c r="J41" s="412"/>
      <c r="K41" s="412"/>
      <c r="L41" s="412"/>
      <c r="M41" s="412"/>
    </row>
    <row r="42" spans="1:13" ht="12" customHeight="1">
      <c r="A42" s="412"/>
      <c r="B42" s="687" t="s">
        <v>645</v>
      </c>
      <c r="C42" s="275">
        <f>C19*(C2+C3)*(C6+C7+C8)</f>
        <v>0</v>
      </c>
      <c r="D42" s="259"/>
      <c r="E42" s="283">
        <f t="shared" si="1"/>
        <v>0</v>
      </c>
      <c r="F42" s="412"/>
      <c r="G42" s="412"/>
      <c r="H42" s="412"/>
      <c r="I42" s="412"/>
      <c r="J42" s="412"/>
      <c r="K42" s="412"/>
      <c r="L42" s="412"/>
      <c r="M42" s="412"/>
    </row>
    <row r="43" spans="1:13" ht="12" customHeight="1">
      <c r="A43" s="412"/>
      <c r="B43" s="687" t="s">
        <v>364</v>
      </c>
      <c r="C43" s="275">
        <f>C16*(C2+C3)*(C6+C7+C8)</f>
        <v>0</v>
      </c>
      <c r="D43" s="259"/>
      <c r="E43" s="283">
        <f t="shared" si="1"/>
        <v>0</v>
      </c>
      <c r="F43" s="412"/>
      <c r="G43" s="412"/>
      <c r="H43" s="412"/>
      <c r="I43" s="412"/>
      <c r="J43" s="412"/>
      <c r="K43" s="412"/>
      <c r="L43" s="412"/>
      <c r="M43" s="412"/>
    </row>
    <row r="44" spans="1:13" ht="12" customHeight="1">
      <c r="A44" s="412"/>
      <c r="B44" s="687" t="s">
        <v>365</v>
      </c>
      <c r="C44" s="282">
        <f>C17*(C2+C3)*(C6+C7+C8)</f>
        <v>0</v>
      </c>
      <c r="D44" s="259"/>
      <c r="E44" s="283">
        <f t="shared" si="1"/>
        <v>0</v>
      </c>
      <c r="F44" s="412"/>
      <c r="G44" s="412"/>
      <c r="H44" s="412"/>
      <c r="I44" s="412"/>
      <c r="J44" s="412"/>
      <c r="K44" s="412"/>
      <c r="L44" s="412"/>
      <c r="M44" s="412"/>
    </row>
    <row r="45" spans="1:13" ht="12" customHeight="1">
      <c r="A45" s="412"/>
      <c r="B45" s="687" t="s">
        <v>467</v>
      </c>
      <c r="C45" s="275">
        <f>(C6+C7+C8)*(C2+C3)*C18</f>
        <v>0</v>
      </c>
      <c r="D45" s="259"/>
      <c r="E45" s="283">
        <f t="shared" si="1"/>
        <v>0</v>
      </c>
      <c r="F45" s="412"/>
      <c r="G45" s="412"/>
      <c r="H45" s="412"/>
      <c r="I45" s="412"/>
      <c r="J45" s="412"/>
      <c r="K45" s="412"/>
      <c r="L45" s="412"/>
      <c r="M45" s="412"/>
    </row>
    <row r="46" spans="1:13" ht="12" customHeight="1">
      <c r="A46" s="412"/>
      <c r="B46" s="686" t="s">
        <v>461</v>
      </c>
      <c r="C46" s="274">
        <f>IF(AND(C6&gt;0,C7+C8=0),(C2+C3)*C6,0)</f>
        <v>0</v>
      </c>
      <c r="D46" s="259"/>
      <c r="E46" s="283">
        <f t="shared" si="1"/>
        <v>0</v>
      </c>
      <c r="F46" s="412"/>
      <c r="G46" s="412"/>
      <c r="H46" s="412"/>
      <c r="I46" s="412"/>
      <c r="J46" s="412"/>
      <c r="K46" s="412"/>
      <c r="L46" s="412"/>
      <c r="M46" s="412"/>
    </row>
    <row r="47" spans="1:13" ht="12" customHeight="1">
      <c r="A47" s="412"/>
      <c r="B47" s="686" t="s">
        <v>462</v>
      </c>
      <c r="C47" s="274">
        <f>IF(AND(C6+C8=0,C7&gt;0),(C2+C3)*C7,0)</f>
        <v>0</v>
      </c>
      <c r="D47" s="259"/>
      <c r="E47" s="283">
        <f t="shared" si="1"/>
        <v>0</v>
      </c>
      <c r="F47" s="412"/>
      <c r="G47" s="412"/>
      <c r="H47" s="412"/>
      <c r="I47" s="412"/>
      <c r="J47" s="412"/>
      <c r="K47" s="412"/>
      <c r="L47" s="412"/>
      <c r="M47" s="412"/>
    </row>
    <row r="48" spans="1:13" ht="12" customHeight="1">
      <c r="A48" s="412"/>
      <c r="B48" s="686" t="s">
        <v>601</v>
      </c>
      <c r="C48" s="274">
        <f>IF(AND(C7+C6=0,C8&gt;0),(C3+C2)*C8,0)</f>
        <v>0</v>
      </c>
      <c r="D48" s="259"/>
      <c r="E48" s="283">
        <f>C48*D48</f>
        <v>0</v>
      </c>
      <c r="F48" s="412"/>
      <c r="G48" s="412"/>
      <c r="H48" s="412"/>
      <c r="I48" s="412"/>
      <c r="J48" s="412"/>
      <c r="K48" s="412"/>
      <c r="L48" s="412"/>
      <c r="M48" s="412"/>
    </row>
    <row r="49" spans="1:13" ht="12" customHeight="1">
      <c r="A49" s="412"/>
      <c r="B49" s="686" t="s">
        <v>442</v>
      </c>
      <c r="C49" s="274">
        <f>(C6+C7+C8)*2</f>
        <v>0</v>
      </c>
      <c r="D49" s="259"/>
      <c r="E49" s="283">
        <f t="shared" si="1"/>
        <v>0</v>
      </c>
      <c r="F49" s="412"/>
      <c r="G49" s="412"/>
      <c r="H49" s="412"/>
      <c r="I49" s="412"/>
      <c r="J49" s="412"/>
      <c r="K49" s="412"/>
      <c r="L49" s="412"/>
      <c r="M49" s="412"/>
    </row>
    <row r="50" spans="1:13" ht="12" customHeight="1">
      <c r="A50" s="412"/>
      <c r="B50" s="719" t="s">
        <v>483</v>
      </c>
      <c r="C50" s="277">
        <f>(C2+C3)*(C6+C7+C8)</f>
        <v>0</v>
      </c>
      <c r="D50" s="258"/>
      <c r="E50" s="283">
        <f t="shared" si="1"/>
        <v>0</v>
      </c>
      <c r="F50" s="412"/>
      <c r="G50" s="412"/>
      <c r="H50" s="412"/>
      <c r="I50" s="412"/>
      <c r="J50" s="412"/>
      <c r="K50" s="412"/>
      <c r="L50" s="412"/>
      <c r="M50" s="412"/>
    </row>
    <row r="51" spans="1:13" ht="12" customHeight="1">
      <c r="A51" s="412"/>
      <c r="B51" s="686" t="s">
        <v>661</v>
      </c>
      <c r="C51" s="274">
        <f>(C6+C7+C8)*(C2+C3)</f>
        <v>0</v>
      </c>
      <c r="D51" s="259"/>
      <c r="E51" s="283">
        <f t="shared" si="1"/>
        <v>0</v>
      </c>
      <c r="F51" s="412"/>
      <c r="G51" s="412"/>
      <c r="H51" s="412"/>
      <c r="I51" s="412"/>
      <c r="J51" s="412"/>
      <c r="K51" s="412"/>
      <c r="L51" s="412"/>
      <c r="M51" s="412"/>
    </row>
    <row r="52" spans="1:13" ht="12" customHeight="1">
      <c r="A52" s="412"/>
      <c r="B52" s="686" t="s">
        <v>662</v>
      </c>
      <c r="C52" s="274">
        <f>(C6+C7+C8)*(C2+C3)</f>
        <v>0</v>
      </c>
      <c r="D52" s="259"/>
      <c r="E52" s="283">
        <f t="shared" si="1"/>
        <v>0</v>
      </c>
      <c r="F52" s="412"/>
      <c r="G52" s="412"/>
      <c r="H52" s="412"/>
      <c r="I52" s="412"/>
      <c r="J52" s="412"/>
      <c r="K52" s="412"/>
      <c r="L52" s="412"/>
      <c r="M52" s="412"/>
    </row>
    <row r="53" spans="1:13" ht="12" customHeight="1">
      <c r="A53" s="412"/>
      <c r="B53" s="687" t="s">
        <v>647</v>
      </c>
      <c r="C53" s="275">
        <f>(C6+C7+C8)*2</f>
        <v>0</v>
      </c>
      <c r="D53" s="259"/>
      <c r="E53" s="283">
        <f t="shared" si="1"/>
        <v>0</v>
      </c>
      <c r="F53" s="412"/>
      <c r="G53" s="412"/>
      <c r="H53" s="412"/>
      <c r="I53" s="412"/>
      <c r="J53" s="412"/>
      <c r="K53" s="412"/>
      <c r="L53" s="412"/>
      <c r="M53" s="412"/>
    </row>
    <row r="54" spans="1:13" ht="12" customHeight="1">
      <c r="A54" s="412"/>
      <c r="B54" s="687" t="s">
        <v>539</v>
      </c>
      <c r="C54" s="275">
        <f>(C6+C7+C8)*4</f>
        <v>0</v>
      </c>
      <c r="D54" s="259"/>
      <c r="E54" s="283">
        <f t="shared" si="1"/>
        <v>0</v>
      </c>
      <c r="F54" s="412"/>
      <c r="G54" s="412"/>
      <c r="H54" s="412"/>
      <c r="I54" s="412"/>
      <c r="J54" s="412"/>
      <c r="K54" s="412"/>
      <c r="L54" s="412"/>
      <c r="M54" s="412"/>
    </row>
    <row r="55" spans="1:13" ht="12" customHeight="1">
      <c r="A55" s="412"/>
      <c r="B55" s="687" t="s">
        <v>516</v>
      </c>
      <c r="C55" s="275">
        <f>(C6+C7+C8)*2</f>
        <v>0</v>
      </c>
      <c r="D55" s="259"/>
      <c r="E55" s="283">
        <f t="shared" si="1"/>
        <v>0</v>
      </c>
      <c r="F55" s="412"/>
      <c r="G55" s="412"/>
      <c r="H55" s="412"/>
      <c r="I55" s="412"/>
      <c r="J55" s="412"/>
      <c r="K55" s="412"/>
      <c r="L55" s="412"/>
      <c r="M55" s="412"/>
    </row>
    <row r="56" spans="1:13" ht="12" customHeight="1">
      <c r="A56" s="412"/>
      <c r="B56" s="459" t="s">
        <v>602</v>
      </c>
      <c r="C56" s="361">
        <f>C11*C8*2</f>
        <v>0</v>
      </c>
      <c r="D56" s="560"/>
      <c r="E56" s="351">
        <f t="shared" si="1"/>
        <v>0</v>
      </c>
      <c r="F56" s="412"/>
      <c r="G56" s="412"/>
      <c r="H56" s="412"/>
      <c r="I56" s="412"/>
      <c r="J56" s="412"/>
      <c r="K56" s="412"/>
      <c r="L56" s="412"/>
      <c r="M56" s="412"/>
    </row>
    <row r="57" spans="1:13" ht="12" customHeight="1">
      <c r="A57" s="412"/>
      <c r="B57" s="459" t="s">
        <v>603</v>
      </c>
      <c r="C57" s="361">
        <f>C14*C8*2</f>
        <v>0</v>
      </c>
      <c r="D57" s="560"/>
      <c r="E57" s="351">
        <f t="shared" si="1"/>
        <v>0</v>
      </c>
      <c r="F57" s="412"/>
      <c r="G57" s="412"/>
      <c r="H57" s="412"/>
      <c r="I57" s="412"/>
      <c r="J57" s="412"/>
      <c r="K57" s="412"/>
      <c r="L57" s="412"/>
      <c r="M57" s="412"/>
    </row>
    <row r="58" spans="1:13" ht="12" customHeight="1">
      <c r="A58" s="412"/>
      <c r="B58" s="689" t="s">
        <v>378</v>
      </c>
      <c r="C58" s="282">
        <f>C9*C6*2</f>
        <v>0</v>
      </c>
      <c r="D58" s="259"/>
      <c r="E58" s="283">
        <f t="shared" si="1"/>
        <v>0</v>
      </c>
      <c r="F58" s="412"/>
      <c r="G58" s="412"/>
      <c r="H58" s="412"/>
      <c r="I58" s="412"/>
      <c r="J58" s="412"/>
      <c r="K58" s="412"/>
      <c r="L58" s="412"/>
      <c r="M58" s="412"/>
    </row>
    <row r="59" spans="1:13" ht="12" customHeight="1">
      <c r="A59" s="412"/>
      <c r="B59" s="689" t="s">
        <v>435</v>
      </c>
      <c r="C59" s="282">
        <f>C12*C6*2</f>
        <v>0</v>
      </c>
      <c r="D59" s="259"/>
      <c r="E59" s="283">
        <f t="shared" si="1"/>
        <v>0</v>
      </c>
      <c r="F59" s="412"/>
      <c r="G59" s="412"/>
      <c r="H59" s="412"/>
      <c r="I59" s="412"/>
      <c r="J59" s="412"/>
      <c r="K59" s="412"/>
      <c r="L59" s="412"/>
      <c r="M59" s="412"/>
    </row>
    <row r="60" spans="1:13" ht="12" customHeight="1">
      <c r="A60" s="412"/>
      <c r="B60" s="689" t="s">
        <v>436</v>
      </c>
      <c r="C60" s="282">
        <f>C10*C7*2</f>
        <v>0</v>
      </c>
      <c r="D60" s="259"/>
      <c r="E60" s="283">
        <f t="shared" si="1"/>
        <v>0</v>
      </c>
      <c r="F60" s="412"/>
      <c r="G60" s="412"/>
      <c r="H60" s="412"/>
      <c r="I60" s="412"/>
      <c r="J60" s="412"/>
      <c r="K60" s="412"/>
      <c r="L60" s="412"/>
      <c r="M60" s="412"/>
    </row>
    <row r="61" spans="1:13" ht="12" customHeight="1">
      <c r="A61" s="412"/>
      <c r="B61" s="532" t="s">
        <v>145</v>
      </c>
      <c r="C61" s="513">
        <f>C21</f>
        <v>0</v>
      </c>
      <c r="D61" s="529"/>
      <c r="E61" s="407">
        <f t="shared" si="1"/>
        <v>0</v>
      </c>
      <c r="F61" s="412"/>
      <c r="G61" s="412"/>
      <c r="H61" s="412"/>
      <c r="I61" s="412"/>
      <c r="J61" s="412"/>
      <c r="K61" s="412"/>
      <c r="L61" s="412"/>
      <c r="M61" s="412"/>
    </row>
    <row r="62" spans="1:13" ht="12" customHeight="1">
      <c r="A62" s="412"/>
      <c r="B62" s="532" t="s">
        <v>148</v>
      </c>
      <c r="C62" s="513">
        <f>C20</f>
        <v>0</v>
      </c>
      <c r="D62" s="529"/>
      <c r="E62" s="407">
        <f t="shared" si="1"/>
        <v>0</v>
      </c>
      <c r="F62" s="412"/>
      <c r="G62" s="412"/>
      <c r="H62" s="412"/>
      <c r="I62" s="412"/>
      <c r="J62" s="412"/>
      <c r="K62" s="412"/>
      <c r="L62" s="412"/>
      <c r="M62" s="412"/>
    </row>
    <row r="63" spans="1:13" ht="12" customHeight="1" thickBot="1">
      <c r="A63" s="412"/>
      <c r="B63" s="692" t="s">
        <v>437</v>
      </c>
      <c r="C63" s="278">
        <f>C13*C7*2</f>
        <v>0</v>
      </c>
      <c r="D63" s="260"/>
      <c r="E63" s="284">
        <f t="shared" si="1"/>
        <v>0</v>
      </c>
      <c r="F63" s="412"/>
      <c r="G63" s="412"/>
      <c r="H63" s="412"/>
      <c r="I63" s="412"/>
      <c r="J63" s="412"/>
      <c r="K63" s="412"/>
      <c r="L63" s="412"/>
      <c r="M63" s="412"/>
    </row>
    <row r="64" spans="1:13" ht="12" customHeight="1" thickBot="1">
      <c r="A64" s="412"/>
      <c r="B64" s="412"/>
      <c r="C64" s="412"/>
      <c r="D64" s="693" t="s">
        <v>9</v>
      </c>
      <c r="E64" s="534">
        <f>SUMIF(E24:E63,"&gt;0",E24:E63)</f>
        <v>0</v>
      </c>
      <c r="F64" s="412"/>
      <c r="G64" s="412"/>
      <c r="H64" s="412"/>
      <c r="I64" s="412"/>
      <c r="J64" s="412"/>
      <c r="K64" s="412"/>
      <c r="L64" s="412"/>
      <c r="M64" s="412"/>
    </row>
    <row r="65" spans="1:13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  <c r="M65" s="412"/>
    </row>
    <row r="66" spans="1:13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  <c r="M66" s="412"/>
    </row>
    <row r="67" spans="1:13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  <c r="M67" s="412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47" priority="55" operator="greaterThan">
      <formula>0</formula>
    </cfRule>
  </conditionalFormatting>
  <conditionalFormatting sqref="C15">
    <cfRule type="cellIs" dxfId="46" priority="56" operator="greaterThan">
      <formula>0</formula>
    </cfRule>
  </conditionalFormatting>
  <conditionalFormatting sqref="C15">
    <cfRule type="cellIs" dxfId="45" priority="57" operator="greaterThan">
      <formula>0</formula>
    </cfRule>
  </conditionalFormatting>
  <conditionalFormatting sqref="C15">
    <cfRule type="cellIs" dxfId="44" priority="61" operator="greaterThan">
      <formula>0</formula>
    </cfRule>
  </conditionalFormatting>
  <conditionalFormatting sqref="C15">
    <cfRule type="cellIs" dxfId="43" priority="60" operator="greaterThan">
      <formula>0</formula>
    </cfRule>
  </conditionalFormatting>
  <conditionalFormatting sqref="C15">
    <cfRule type="cellIs" dxfId="42" priority="59" operator="greaterThan">
      <formula>0</formula>
    </cfRule>
  </conditionalFormatting>
  <conditionalFormatting sqref="C15">
    <cfRule type="cellIs" dxfId="41" priority="58" operator="greaterThan">
      <formula>0</formula>
    </cfRule>
  </conditionalFormatting>
  <conditionalFormatting sqref="J3:J19">
    <cfRule type="cellIs" dxfId="40" priority="28" operator="greaterThan">
      <formula>0</formula>
    </cfRule>
    <cfRule type="cellIs" dxfId="39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" priority="49" operator="equal">
      <formula>"ДА"</formula>
    </cfRule>
    <cfRule type="cellIs" dxfId="37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" priority="46" operator="equal">
      <formula>"ДА"</formula>
    </cfRule>
    <cfRule type="cellIs" dxfId="35" priority="47" operator="equal">
      <formula>"НЕТ"</formula>
    </cfRule>
  </conditionalFormatting>
  <conditionalFormatting sqref="I5">
    <cfRule type="cellIs" dxfId="34" priority="43" operator="equal">
      <formula>"ДА"</formula>
    </cfRule>
    <cfRule type="cellIs" dxfId="33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2" priority="39" operator="equal">
      <formula>"ДА"</formula>
    </cfRule>
    <cfRule type="cellIs" dxfId="31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" priority="35" operator="equal">
      <formula>"ДА"</formula>
    </cfRule>
    <cfRule type="cellIs" dxfId="29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8" priority="33" operator="equal">
      <formula>"ДА"</formula>
    </cfRule>
    <cfRule type="cellIs" dxfId="27" priority="34" operator="equal">
      <formula>"НЕТ"</formula>
    </cfRule>
  </conditionalFormatting>
  <conditionalFormatting sqref="I19">
    <cfRule type="cellIs" dxfId="26" priority="31" operator="equal">
      <formula>"ДА"</formula>
    </cfRule>
    <cfRule type="cellIs" dxfId="25" priority="32" operator="equal">
      <formula>"НЕТ"</formula>
    </cfRule>
  </conditionalFormatting>
  <conditionalFormatting sqref="K3:K19">
    <cfRule type="cellIs" dxfId="24" priority="30" operator="greaterThan">
      <formula>0</formula>
    </cfRule>
  </conditionalFormatting>
  <conditionalFormatting sqref="I15:I19">
    <cfRule type="cellIs" dxfId="23" priority="27" operator="equal">
      <formula>"НЕТ"</formula>
    </cfRule>
  </conditionalFormatting>
  <conditionalFormatting sqref="I3:I19">
    <cfRule type="cellIs" dxfId="22" priority="25" operator="equal">
      <formula>"НЕТ"</formula>
    </cfRule>
    <cfRule type="cellIs" dxfId="21" priority="26" operator="equal">
      <formula>"ДА"</formula>
    </cfRule>
  </conditionalFormatting>
  <conditionalFormatting sqref="I3:I18">
    <cfRule type="cellIs" dxfId="20" priority="24" operator="equal">
      <formula>"ДА"</formula>
    </cfRule>
  </conditionalFormatting>
  <conditionalFormatting sqref="I5">
    <cfRule type="cellIs" dxfId="19" priority="21" operator="equal">
      <formula>"ДА"</formula>
    </cfRule>
    <cfRule type="cellIs" dxfId="18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7" priority="18" operator="equal">
      <formula>"ДА"</formula>
    </cfRule>
    <cfRule type="cellIs" dxfId="16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5" priority="12" operator="greaterThan">
      <formula>0</formula>
    </cfRule>
    <cfRule type="cellIs" dxfId="14" priority="13" operator="greaterThan">
      <formula>0</formula>
    </cfRule>
    <cfRule type="cellIs" dxfId="13" priority="17" operator="greaterThan">
      <formula>0</formula>
    </cfRule>
  </conditionalFormatting>
  <conditionalFormatting sqref="I5">
    <cfRule type="cellIs" dxfId="12" priority="14" operator="equal">
      <formula>"ДА"</formula>
    </cfRule>
    <cfRule type="cellIs" dxfId="11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0" priority="11" operator="greaterThan">
      <formula>0</formula>
    </cfRule>
  </conditionalFormatting>
  <conditionalFormatting sqref="C57:E57">
    <cfRule type="cellIs" dxfId="9" priority="10" operator="greaterThan">
      <formula>0</formula>
    </cfRule>
  </conditionalFormatting>
  <conditionalFormatting sqref="C56:E57">
    <cfRule type="cellIs" dxfId="8" priority="9" operator="greaterThan">
      <formula>0</formula>
    </cfRule>
  </conditionalFormatting>
  <conditionalFormatting sqref="C56:E57">
    <cfRule type="cellIs" dxfId="7" priority="8" operator="greaterThan">
      <formula>0</formula>
    </cfRule>
  </conditionalFormatting>
  <conditionalFormatting sqref="C56:E57">
    <cfRule type="cellIs" dxfId="6" priority="7" operator="greaterThan">
      <formula>0</formula>
    </cfRule>
  </conditionalFormatting>
  <conditionalFormatting sqref="C56:E57">
    <cfRule type="cellIs" dxfId="5" priority="6" operator="greaterThan">
      <formula>0</formula>
    </cfRule>
  </conditionalFormatting>
  <conditionalFormatting sqref="E64">
    <cfRule type="cellIs" dxfId="4" priority="5" operator="greaterThan">
      <formula>0</formula>
    </cfRule>
  </conditionalFormatting>
  <conditionalFormatting sqref="C2:C19">
    <cfRule type="cellIs" dxfId="3" priority="4" operator="greaterThan">
      <formula>0</formula>
    </cfRule>
  </conditionalFormatting>
  <conditionalFormatting sqref="C24:E60 C63:E63">
    <cfRule type="cellIs" dxfId="2" priority="3" operator="greaterThan">
      <formula>0</formula>
    </cfRule>
  </conditionalFormatting>
  <conditionalFormatting sqref="C20:C21">
    <cfRule type="cellIs" dxfId="1" priority="2" operator="greaterThan">
      <formula>0</formula>
    </cfRule>
  </conditionalFormatting>
  <conditionalFormatting sqref="C61:E62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14" sqref="G14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248" t="s">
        <v>844</v>
      </c>
      <c r="B1" s="1248"/>
      <c r="C1" s="1248"/>
      <c r="D1" s="1248"/>
    </row>
    <row r="2" spans="1:4">
      <c r="A2" s="110" t="s">
        <v>10</v>
      </c>
      <c r="B2" s="869">
        <v>4</v>
      </c>
      <c r="C2" s="1009" t="s">
        <v>125</v>
      </c>
      <c r="D2" s="984"/>
    </row>
    <row r="3" spans="1:4">
      <c r="A3" s="111" t="s">
        <v>123</v>
      </c>
      <c r="B3" s="840">
        <v>1</v>
      </c>
      <c r="C3" s="1011" t="s">
        <v>30</v>
      </c>
      <c r="D3" s="1012"/>
    </row>
    <row r="4" spans="1:4">
      <c r="A4" s="824" t="s">
        <v>845</v>
      </c>
      <c r="B4" s="841">
        <v>2</v>
      </c>
      <c r="C4" s="855" t="s">
        <v>846</v>
      </c>
      <c r="D4" s="852" t="s">
        <v>847</v>
      </c>
    </row>
    <row r="5" spans="1:4">
      <c r="A5" s="824" t="s">
        <v>848</v>
      </c>
      <c r="B5" s="841">
        <v>0</v>
      </c>
      <c r="C5" s="853" t="s">
        <v>849</v>
      </c>
      <c r="D5" s="852" t="s">
        <v>850</v>
      </c>
    </row>
    <row r="6" spans="1:4" ht="24" customHeight="1">
      <c r="A6" s="824" t="s">
        <v>589</v>
      </c>
      <c r="B6" s="841">
        <v>4</v>
      </c>
      <c r="C6" s="1158" t="s">
        <v>869</v>
      </c>
      <c r="D6" s="1162"/>
    </row>
    <row r="7" spans="1:4">
      <c r="A7" s="825" t="s">
        <v>277</v>
      </c>
      <c r="B7" s="840">
        <v>0</v>
      </c>
      <c r="C7" s="1093" t="s">
        <v>30</v>
      </c>
      <c r="D7" s="1094"/>
    </row>
    <row r="8" spans="1:4" ht="12" thickBot="1">
      <c r="A8" s="112" t="s">
        <v>274</v>
      </c>
      <c r="B8" s="839">
        <v>0</v>
      </c>
      <c r="C8" s="1091" t="s">
        <v>30</v>
      </c>
      <c r="D8" s="1092"/>
    </row>
    <row r="9" spans="1:4" ht="12" thickBot="1">
      <c r="A9" s="1113"/>
      <c r="B9" s="1113"/>
      <c r="C9" s="1113"/>
      <c r="D9" s="1113"/>
    </row>
    <row r="10" spans="1:4" ht="12.75">
      <c r="A10" s="98" t="s">
        <v>5</v>
      </c>
      <c r="B10" s="99" t="s">
        <v>0</v>
      </c>
      <c r="C10" s="119" t="s">
        <v>4</v>
      </c>
      <c r="D10" s="854" t="s">
        <v>8</v>
      </c>
    </row>
    <row r="11" spans="1:4" ht="15">
      <c r="A11" s="870" t="s">
        <v>851</v>
      </c>
      <c r="B11" s="871">
        <f>B3</f>
        <v>1</v>
      </c>
      <c r="C11" s="872"/>
      <c r="D11" s="870">
        <f t="shared" ref="D11:D29" si="0">C11*B11</f>
        <v>0</v>
      </c>
    </row>
    <row r="12" spans="1:4" ht="15">
      <c r="A12" s="870" t="s">
        <v>852</v>
      </c>
      <c r="B12" s="871">
        <f>IF(B3&gt;0,B3,0)</f>
        <v>1</v>
      </c>
      <c r="C12" s="872"/>
      <c r="D12" s="870">
        <f t="shared" si="0"/>
        <v>0</v>
      </c>
    </row>
    <row r="13" spans="1:4" ht="15">
      <c r="A13" s="870" t="s">
        <v>853</v>
      </c>
      <c r="B13" s="871">
        <f>IF(B2&lt;=1.31, 2*B3,
IF(AND(B2&gt;1.31,B2&lt;=2.2), 3*B3,
IF(AND(B2&gt;2.2,B2&lt;=3), 4*B3,
IF(AND(B2&gt;3,B2&lt;=4),5*B3,6))))</f>
        <v>5</v>
      </c>
      <c r="C13" s="872"/>
      <c r="D13" s="870">
        <f t="shared" si="0"/>
        <v>0</v>
      </c>
    </row>
    <row r="14" spans="1:4" ht="15">
      <c r="A14" s="870" t="s">
        <v>854</v>
      </c>
      <c r="B14" s="871">
        <f>IF(B2&lt;=1.31, 2*B3,
IF(AND(B2&gt;1.31,B2&lt;=2.2), 3*B3,
IF(AND(B2&gt;2.2,B2&lt;=3), 4*B3,
IF(AND(B2&gt;3,B2&lt;=4),5*B3,6))))</f>
        <v>5</v>
      </c>
      <c r="C14" s="872"/>
      <c r="D14" s="870">
        <f t="shared" si="0"/>
        <v>0</v>
      </c>
    </row>
    <row r="15" spans="1:4" ht="15">
      <c r="A15" s="870" t="s">
        <v>855</v>
      </c>
      <c r="B15" s="871">
        <f>B3</f>
        <v>1</v>
      </c>
      <c r="C15" s="872"/>
      <c r="D15" s="870">
        <f t="shared" si="0"/>
        <v>0</v>
      </c>
    </row>
    <row r="16" spans="1:4" ht="15">
      <c r="A16" s="870" t="s">
        <v>856</v>
      </c>
      <c r="B16" s="871">
        <f>B3</f>
        <v>1</v>
      </c>
      <c r="C16" s="872"/>
      <c r="D16" s="870">
        <f t="shared" si="0"/>
        <v>0</v>
      </c>
    </row>
    <row r="17" spans="1:4" ht="15">
      <c r="A17" s="870" t="s">
        <v>857</v>
      </c>
      <c r="B17" s="871">
        <f>IF(AND(B2&lt;=1.31,B4=1), 2*B3,
IF(AND(B2&gt;1.31,B2&lt;=2.2,B4=1), 3*B3,
IF(AND(B2&gt;2.2,B2&lt;=3,B4=1), 4*B3,
IF(AND(B2&gt;3,B2&lt;=4,B4=1),5*B3,0))))</f>
        <v>0</v>
      </c>
      <c r="C17" s="872"/>
      <c r="D17" s="870">
        <f t="shared" si="0"/>
        <v>0</v>
      </c>
    </row>
    <row r="18" spans="1:4" ht="15">
      <c r="A18" s="870" t="s">
        <v>858</v>
      </c>
      <c r="B18" s="871">
        <f>IF(AND(B2&lt;=1.31,B4=2), 2*B3,
IF(AND(B2&gt;1.31,B2&lt;=2.2,B4=2), 3*B3,
IF(AND(B2&gt;2.2,B2&lt;=3,B4=2), 4*B3,
IF(AND(B2&gt;3,B2&lt;=4,B4=2),5*B3,0))))</f>
        <v>5</v>
      </c>
      <c r="C18" s="872"/>
      <c r="D18" s="870">
        <f t="shared" si="0"/>
        <v>0</v>
      </c>
    </row>
    <row r="19" spans="1:4" ht="15">
      <c r="A19" s="870" t="s">
        <v>859</v>
      </c>
      <c r="B19" s="871">
        <f>IF(B2&gt;3,B3,0)</f>
        <v>1</v>
      </c>
      <c r="C19" s="872"/>
      <c r="D19" s="870">
        <f t="shared" si="0"/>
        <v>0</v>
      </c>
    </row>
    <row r="20" spans="1:4" ht="15">
      <c r="A20" s="870" t="s">
        <v>860</v>
      </c>
      <c r="B20" s="871">
        <f>IF(B2&lt;=1.31, 2*B3*4.5,
IF(AND(B2&gt;1.31,B2&lt;=2.2), 3*B3*4.5,
IF(AND(B2&gt;2.2,B2&lt;=3), 4*B3*4.5,
IF(AND(B2&gt;3,B2&lt;=4),5*B3*4.5,0))))</f>
        <v>22.5</v>
      </c>
      <c r="C20" s="872"/>
      <c r="D20" s="870">
        <f t="shared" si="0"/>
        <v>0</v>
      </c>
    </row>
    <row r="21" spans="1:4" ht="15">
      <c r="A21" s="870" t="s">
        <v>861</v>
      </c>
      <c r="B21" s="871">
        <f>IF(B2&lt;=1.31, 2*B3,
IF(AND(B2&gt;1.31,B2&lt;=2.2), 3*B3,
IF(AND(B2&gt;2.2,B2&lt;=3), 4*B3,
IF(AND(B2&gt;3,B2&lt;=4),5*B3,6))))</f>
        <v>5</v>
      </c>
      <c r="C21" s="872"/>
      <c r="D21" s="870">
        <f t="shared" si="0"/>
        <v>0</v>
      </c>
    </row>
    <row r="22" spans="1:4" ht="15">
      <c r="A22" s="870" t="s">
        <v>862</v>
      </c>
      <c r="B22" s="879">
        <f>IF(AND(B2&gt;=1,B2&lt;=3),B2-0.06,IF(AND(B2&gt;3,B2&lt;=5),(B2-0.037)/2,IF(AND(B2&gt;=1,B2&lt;=3),B2-0.4,IF(AND(B2&gt;3,B2&lt;=5),(B2-0.207)/2,0))))</f>
        <v>1.9815</v>
      </c>
      <c r="C22" s="873"/>
      <c r="D22" s="870">
        <f t="shared" si="0"/>
        <v>0</v>
      </c>
    </row>
    <row r="23" spans="1:4" ht="15">
      <c r="A23" s="870" t="s">
        <v>862</v>
      </c>
      <c r="B23" s="879">
        <f>IF(AND(B2&gt;3,B2&lt;=5),(B2-0.037)/2,IF(AND(B2&gt;3,B2&lt;=5),(B2-0.207)/2,0))</f>
        <v>1.9815</v>
      </c>
      <c r="C23" s="873"/>
      <c r="D23" s="870">
        <f t="shared" si="0"/>
        <v>0</v>
      </c>
    </row>
    <row r="24" spans="1:4" ht="15">
      <c r="A24" s="870" t="s">
        <v>145</v>
      </c>
      <c r="B24" s="874">
        <f>B7*B3</f>
        <v>0</v>
      </c>
      <c r="C24" s="872"/>
      <c r="D24" s="870">
        <f t="shared" si="0"/>
        <v>0</v>
      </c>
    </row>
    <row r="25" spans="1:4" ht="15">
      <c r="A25" s="1245" t="s">
        <v>241</v>
      </c>
      <c r="B25" s="1246"/>
      <c r="C25" s="1246"/>
      <c r="D25" s="1247"/>
    </row>
    <row r="26" spans="1:4" ht="15">
      <c r="A26" s="875" t="s">
        <v>863</v>
      </c>
      <c r="B26" s="876">
        <f>IF(AND(B5=0,B6=1),B3,0)</f>
        <v>0</v>
      </c>
      <c r="C26" s="877"/>
      <c r="D26" s="870">
        <f t="shared" si="0"/>
        <v>0</v>
      </c>
    </row>
    <row r="27" spans="1:4" ht="15">
      <c r="A27" s="878" t="s">
        <v>864</v>
      </c>
      <c r="B27" s="876">
        <f>IF(AND(B5=0,B6=2),B3,0)</f>
        <v>0</v>
      </c>
      <c r="C27" s="877"/>
      <c r="D27" s="870">
        <f t="shared" si="0"/>
        <v>0</v>
      </c>
    </row>
    <row r="28" spans="1:4" ht="15">
      <c r="A28" s="878" t="s">
        <v>865</v>
      </c>
      <c r="B28" s="876">
        <f>IF(AND(B5=0,B6=3),B3,0)</f>
        <v>0</v>
      </c>
      <c r="C28" s="877"/>
      <c r="D28" s="870">
        <f t="shared" si="0"/>
        <v>0</v>
      </c>
    </row>
    <row r="29" spans="1:4" ht="15" customHeight="1">
      <c r="A29" s="878" t="s">
        <v>866</v>
      </c>
      <c r="B29" s="876">
        <f>IF(AND(B5=0,B6=5),B4,0)</f>
        <v>0</v>
      </c>
      <c r="C29" s="877"/>
      <c r="D29" s="870">
        <f t="shared" si="0"/>
        <v>0</v>
      </c>
    </row>
    <row r="30" spans="1:4" ht="15" customHeight="1">
      <c r="A30" s="851" t="s">
        <v>867</v>
      </c>
      <c r="B30" s="880">
        <f>IF(AND(B5=1,B6=5),B4,0)</f>
        <v>0</v>
      </c>
      <c r="C30" s="846"/>
      <c r="D30" s="851">
        <f>C30*B30</f>
        <v>0</v>
      </c>
    </row>
    <row r="31" spans="1:4" ht="15" customHeight="1">
      <c r="A31" s="851" t="s">
        <v>868</v>
      </c>
      <c r="B31" s="880">
        <f>IF(AND(B5=1,B6=2),B3,0)</f>
        <v>0</v>
      </c>
      <c r="C31" s="846"/>
      <c r="D31" s="851">
        <f>C31*B31</f>
        <v>0</v>
      </c>
    </row>
  </sheetData>
  <sheetProtection algorithmName="SHA-512" hashValue="6od+LRZNidDzxxNY1i2qHnikqX0iM3wKq3oePSf1Htbq3deLG06jnFnULsVcqF424SwyIRKMZ0rL9pGvbB3VMg==" saltValue="BmLPr6SyX7fkz1NJRrmWXg==" spinCount="100000" sheet="1" objects="1" scenarios="1"/>
  <mergeCells count="8">
    <mergeCell ref="C8:D8"/>
    <mergeCell ref="A9:D9"/>
    <mergeCell ref="A25:D25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2025-02-11T07:55:40Z</dcterms:modified>
</cp:coreProperties>
</file>